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ulie\Documents\"/>
    </mc:Choice>
  </mc:AlternateContent>
  <bookViews>
    <workbookView xWindow="0" yWindow="0" windowWidth="19200" windowHeight="11595" tabRatio="500" activeTab="1"/>
  </bookViews>
  <sheets>
    <sheet name="INPUT - OUTPUT" sheetId="2" r:id="rId1"/>
    <sheet name="ECONOMIC MODEL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J6" i="1"/>
  <c r="H22" i="2"/>
  <c r="N55" i="2"/>
  <c r="B11" i="1"/>
  <c r="D6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C29" i="1"/>
  <c r="G6" i="1"/>
  <c r="A12" i="1"/>
  <c r="A13" i="1"/>
  <c r="A14" i="1"/>
  <c r="A15" i="1"/>
  <c r="D16" i="1"/>
  <c r="F6" i="1"/>
  <c r="E16" i="1"/>
  <c r="A16" i="1"/>
  <c r="D17" i="1"/>
  <c r="E17" i="1"/>
  <c r="A17" i="1"/>
  <c r="D18" i="1"/>
  <c r="E18" i="1"/>
  <c r="A18" i="1"/>
  <c r="D19" i="1"/>
  <c r="E19" i="1"/>
  <c r="A19" i="1"/>
  <c r="D20" i="1"/>
  <c r="E20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E6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F29" i="1"/>
  <c r="G29" i="1"/>
  <c r="I29" i="1"/>
  <c r="B30" i="1"/>
  <c r="C30" i="1"/>
  <c r="D30" i="1"/>
  <c r="E30" i="1"/>
  <c r="F30" i="1"/>
  <c r="G30" i="1"/>
  <c r="I30" i="1"/>
  <c r="B31" i="1"/>
  <c r="C31" i="1"/>
  <c r="D31" i="1"/>
  <c r="E31" i="1"/>
  <c r="F31" i="1"/>
  <c r="G31" i="1"/>
  <c r="I31" i="1"/>
  <c r="B32" i="1"/>
  <c r="C32" i="1"/>
  <c r="D32" i="1"/>
  <c r="E32" i="1"/>
  <c r="F32" i="1"/>
  <c r="G32" i="1"/>
  <c r="I32" i="1"/>
  <c r="B33" i="1"/>
  <c r="C33" i="1"/>
  <c r="D33" i="1"/>
  <c r="E33" i="1"/>
  <c r="F33" i="1"/>
  <c r="G33" i="1"/>
  <c r="I33" i="1"/>
  <c r="B34" i="1"/>
  <c r="C34" i="1"/>
  <c r="D34" i="1"/>
  <c r="E34" i="1"/>
  <c r="F34" i="1"/>
  <c r="G34" i="1"/>
  <c r="I34" i="1"/>
  <c r="B35" i="1"/>
  <c r="C35" i="1"/>
  <c r="D35" i="1"/>
  <c r="E35" i="1"/>
  <c r="F35" i="1"/>
  <c r="G35" i="1"/>
  <c r="I35" i="1"/>
  <c r="B36" i="1"/>
  <c r="C36" i="1"/>
  <c r="D36" i="1"/>
  <c r="E36" i="1"/>
  <c r="F36" i="1"/>
  <c r="G36" i="1"/>
  <c r="I36" i="1"/>
  <c r="B37" i="1"/>
  <c r="C37" i="1"/>
  <c r="D37" i="1"/>
  <c r="E37" i="1"/>
  <c r="F37" i="1"/>
  <c r="G37" i="1"/>
  <c r="I37" i="1"/>
  <c r="B38" i="1"/>
  <c r="C38" i="1"/>
  <c r="D38" i="1"/>
  <c r="E38" i="1"/>
  <c r="F38" i="1"/>
  <c r="G38" i="1"/>
  <c r="I38" i="1"/>
  <c r="B39" i="1"/>
  <c r="C39" i="1"/>
  <c r="D39" i="1"/>
  <c r="E39" i="1"/>
  <c r="F39" i="1"/>
  <c r="G39" i="1"/>
  <c r="I39" i="1"/>
  <c r="B40" i="1"/>
  <c r="C40" i="1"/>
  <c r="D40" i="1"/>
  <c r="E40" i="1"/>
  <c r="F40" i="1"/>
  <c r="G40" i="1"/>
  <c r="I40" i="1"/>
  <c r="B41" i="1"/>
  <c r="C41" i="1"/>
  <c r="D41" i="1"/>
  <c r="E41" i="1"/>
  <c r="F41" i="1"/>
  <c r="G41" i="1"/>
  <c r="I41" i="1"/>
  <c r="B42" i="1"/>
  <c r="C42" i="1"/>
  <c r="D42" i="1"/>
  <c r="E42" i="1"/>
  <c r="F42" i="1"/>
  <c r="G42" i="1"/>
  <c r="I42" i="1"/>
  <c r="B43" i="1"/>
  <c r="C43" i="1"/>
  <c r="D43" i="1"/>
  <c r="E43" i="1"/>
  <c r="F43" i="1"/>
  <c r="G43" i="1"/>
  <c r="I43" i="1"/>
  <c r="B44" i="1"/>
  <c r="C44" i="1"/>
  <c r="D44" i="1"/>
  <c r="E44" i="1"/>
  <c r="F44" i="1"/>
  <c r="G44" i="1"/>
  <c r="I44" i="1"/>
  <c r="B45" i="1"/>
  <c r="C45" i="1"/>
  <c r="D45" i="1"/>
  <c r="E45" i="1"/>
  <c r="F45" i="1"/>
  <c r="G45" i="1"/>
  <c r="I45" i="1"/>
  <c r="B46" i="1"/>
  <c r="C46" i="1"/>
  <c r="D46" i="1"/>
  <c r="E46" i="1"/>
  <c r="F46" i="1"/>
  <c r="G46" i="1"/>
  <c r="I46" i="1"/>
  <c r="B47" i="1"/>
  <c r="C47" i="1"/>
  <c r="D47" i="1"/>
  <c r="E47" i="1"/>
  <c r="F47" i="1"/>
  <c r="G47" i="1"/>
  <c r="I47" i="1"/>
  <c r="B48" i="1"/>
  <c r="C48" i="1"/>
  <c r="D48" i="1"/>
  <c r="E48" i="1"/>
  <c r="F48" i="1"/>
  <c r="G48" i="1"/>
  <c r="I48" i="1"/>
  <c r="B49" i="1"/>
  <c r="C49" i="1"/>
  <c r="D49" i="1"/>
  <c r="E49" i="1"/>
  <c r="F49" i="1"/>
  <c r="G49" i="1"/>
  <c r="I49" i="1"/>
  <c r="B50" i="1"/>
  <c r="C50" i="1"/>
  <c r="D50" i="1"/>
  <c r="E50" i="1"/>
  <c r="F50" i="1"/>
  <c r="G50" i="1"/>
  <c r="I50" i="1"/>
  <c r="B51" i="1"/>
  <c r="C51" i="1"/>
  <c r="D51" i="1"/>
  <c r="E51" i="1"/>
  <c r="F51" i="1"/>
  <c r="G51" i="1"/>
  <c r="I51" i="1"/>
  <c r="B52" i="1"/>
  <c r="C52" i="1"/>
  <c r="D52" i="1"/>
  <c r="E52" i="1"/>
  <c r="F52" i="1"/>
  <c r="G52" i="1"/>
  <c r="I52" i="1"/>
  <c r="B53" i="1"/>
  <c r="C53" i="1"/>
  <c r="D53" i="1"/>
  <c r="E53" i="1"/>
  <c r="F53" i="1"/>
  <c r="G53" i="1"/>
  <c r="I53" i="1"/>
  <c r="B54" i="1"/>
  <c r="C54" i="1"/>
  <c r="D54" i="1"/>
  <c r="E54" i="1"/>
  <c r="F54" i="1"/>
  <c r="G54" i="1"/>
  <c r="I54" i="1"/>
  <c r="B55" i="1"/>
  <c r="C55" i="1"/>
  <c r="D55" i="1"/>
  <c r="E55" i="1"/>
  <c r="F55" i="1"/>
  <c r="G55" i="1"/>
  <c r="I55" i="1"/>
  <c r="B56" i="1"/>
  <c r="C56" i="1"/>
  <c r="D56" i="1"/>
  <c r="E56" i="1"/>
  <c r="F56" i="1"/>
  <c r="G56" i="1"/>
  <c r="I56" i="1"/>
  <c r="B57" i="1"/>
  <c r="C57" i="1"/>
  <c r="D57" i="1"/>
  <c r="E57" i="1"/>
  <c r="F57" i="1"/>
  <c r="G57" i="1"/>
  <c r="I57" i="1"/>
  <c r="B58" i="1"/>
  <c r="C58" i="1"/>
  <c r="D58" i="1"/>
  <c r="E58" i="1"/>
  <c r="F58" i="1"/>
  <c r="G58" i="1"/>
  <c r="I58" i="1"/>
  <c r="B59" i="1"/>
  <c r="C59" i="1"/>
  <c r="D59" i="1"/>
  <c r="E59" i="1"/>
  <c r="F59" i="1"/>
  <c r="G59" i="1"/>
  <c r="I59" i="1"/>
  <c r="B60" i="1"/>
  <c r="C60" i="1"/>
  <c r="D60" i="1"/>
  <c r="E60" i="1"/>
  <c r="F60" i="1"/>
  <c r="G60" i="1"/>
  <c r="I60" i="1"/>
  <c r="B61" i="1"/>
  <c r="C61" i="1"/>
  <c r="D61" i="1"/>
  <c r="E61" i="1"/>
  <c r="F61" i="1"/>
  <c r="G61" i="1"/>
  <c r="I61" i="1"/>
  <c r="B62" i="1"/>
  <c r="C62" i="1"/>
  <c r="D62" i="1"/>
  <c r="E62" i="1"/>
  <c r="F62" i="1"/>
  <c r="G62" i="1"/>
  <c r="I62" i="1"/>
  <c r="B63" i="1"/>
  <c r="C63" i="1"/>
  <c r="D63" i="1"/>
  <c r="E63" i="1"/>
  <c r="F63" i="1"/>
  <c r="G63" i="1"/>
  <c r="I63" i="1"/>
  <c r="B64" i="1"/>
  <c r="C64" i="1"/>
  <c r="D64" i="1"/>
  <c r="E64" i="1"/>
  <c r="F64" i="1"/>
  <c r="G64" i="1"/>
  <c r="I64" i="1"/>
  <c r="B65" i="1"/>
  <c r="C65" i="1"/>
  <c r="D65" i="1"/>
  <c r="E65" i="1"/>
  <c r="F65" i="1"/>
  <c r="G65" i="1"/>
  <c r="I65" i="1"/>
  <c r="B66" i="1"/>
  <c r="C66" i="1"/>
  <c r="D66" i="1"/>
  <c r="E66" i="1"/>
  <c r="F66" i="1"/>
  <c r="G66" i="1"/>
  <c r="I66" i="1"/>
  <c r="B67" i="1"/>
  <c r="C67" i="1"/>
  <c r="D67" i="1"/>
  <c r="E67" i="1"/>
  <c r="F67" i="1"/>
  <c r="G67" i="1"/>
  <c r="I67" i="1"/>
  <c r="B68" i="1"/>
  <c r="C68" i="1"/>
  <c r="D68" i="1"/>
  <c r="E68" i="1"/>
  <c r="F68" i="1"/>
  <c r="G68" i="1"/>
  <c r="I68" i="1"/>
  <c r="C12" i="1"/>
  <c r="E11" i="1"/>
  <c r="D12" i="1"/>
  <c r="E12" i="1"/>
  <c r="F12" i="1"/>
  <c r="G12" i="1"/>
  <c r="I12" i="1"/>
  <c r="C13" i="1"/>
  <c r="D13" i="1"/>
  <c r="E13" i="1"/>
  <c r="F13" i="1"/>
  <c r="G13" i="1"/>
  <c r="I13" i="1"/>
  <c r="C14" i="1"/>
  <c r="D14" i="1"/>
  <c r="E14" i="1"/>
  <c r="F14" i="1"/>
  <c r="G14" i="1"/>
  <c r="I14" i="1"/>
  <c r="C15" i="1"/>
  <c r="F15" i="1"/>
  <c r="G15" i="1"/>
  <c r="I15" i="1"/>
  <c r="C16" i="1"/>
  <c r="F16" i="1"/>
  <c r="G16" i="1"/>
  <c r="I16" i="1"/>
  <c r="C17" i="1"/>
  <c r="F17" i="1"/>
  <c r="G17" i="1"/>
  <c r="I17" i="1"/>
  <c r="C18" i="1"/>
  <c r="F18" i="1"/>
  <c r="G18" i="1"/>
  <c r="I18" i="1"/>
  <c r="C19" i="1"/>
  <c r="F19" i="1"/>
  <c r="G19" i="1"/>
  <c r="I19" i="1"/>
  <c r="C20" i="1"/>
  <c r="F20" i="1"/>
  <c r="G20" i="1"/>
  <c r="I20" i="1"/>
  <c r="C21" i="1"/>
  <c r="F21" i="1"/>
  <c r="G21" i="1"/>
  <c r="I21" i="1"/>
  <c r="C22" i="1"/>
  <c r="F22" i="1"/>
  <c r="G22" i="1"/>
  <c r="I22" i="1"/>
  <c r="C23" i="1"/>
  <c r="F23" i="1"/>
  <c r="G23" i="1"/>
  <c r="I23" i="1"/>
  <c r="C24" i="1"/>
  <c r="F24" i="1"/>
  <c r="G24" i="1"/>
  <c r="I24" i="1"/>
  <c r="C25" i="1"/>
  <c r="F25" i="1"/>
  <c r="G25" i="1"/>
  <c r="I25" i="1"/>
  <c r="C26" i="1"/>
  <c r="F26" i="1"/>
  <c r="G26" i="1"/>
  <c r="I26" i="1"/>
  <c r="C27" i="1"/>
  <c r="F27" i="1"/>
  <c r="G27" i="1"/>
  <c r="I27" i="1"/>
  <c r="C28" i="1"/>
  <c r="F28" i="1"/>
  <c r="G28" i="1"/>
  <c r="I28" i="1"/>
  <c r="C11" i="1"/>
  <c r="F11" i="1"/>
  <c r="G11" i="1"/>
  <c r="I11" i="1"/>
  <c r="H11" i="1"/>
  <c r="I6" i="1"/>
  <c r="H13" i="1"/>
  <c r="H14" i="1"/>
  <c r="H15" i="1"/>
  <c r="H16" i="1"/>
  <c r="H12" i="1"/>
  <c r="J12" i="1"/>
  <c r="J13" i="1"/>
  <c r="J14" i="1"/>
  <c r="J15" i="1"/>
  <c r="H17" i="1"/>
  <c r="J16" i="1"/>
  <c r="H18" i="1"/>
  <c r="J17" i="1"/>
  <c r="H19" i="1"/>
  <c r="J18" i="1"/>
  <c r="H20" i="1"/>
  <c r="J19" i="1"/>
  <c r="H21" i="1"/>
  <c r="J20" i="1"/>
  <c r="H22" i="1"/>
  <c r="J21" i="1"/>
  <c r="H23" i="1"/>
  <c r="J22" i="1"/>
  <c r="H24" i="1"/>
  <c r="J23" i="1"/>
  <c r="H25" i="1"/>
  <c r="J24" i="1"/>
  <c r="H26" i="1"/>
  <c r="J25" i="1"/>
  <c r="H27" i="1"/>
  <c r="J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D15" i="1"/>
  <c r="N6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M6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J27" i="1"/>
  <c r="L27" i="1"/>
  <c r="J28" i="1"/>
  <c r="L28" i="1"/>
  <c r="J29" i="1"/>
  <c r="L29" i="1"/>
  <c r="J30" i="1"/>
  <c r="L30" i="1"/>
  <c r="J31" i="1"/>
  <c r="L31" i="1"/>
  <c r="J32" i="1"/>
  <c r="L32" i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L39" i="1"/>
  <c r="J40" i="1"/>
  <c r="L40" i="1"/>
  <c r="J41" i="1"/>
  <c r="L41" i="1"/>
  <c r="J42" i="1"/>
  <c r="L42" i="1"/>
  <c r="J43" i="1"/>
  <c r="L43" i="1"/>
  <c r="J44" i="1"/>
  <c r="L44" i="1"/>
  <c r="J45" i="1"/>
  <c r="L45" i="1"/>
  <c r="J46" i="1"/>
  <c r="L46" i="1"/>
  <c r="J47" i="1"/>
  <c r="L47" i="1"/>
  <c r="J48" i="1"/>
  <c r="L48" i="1"/>
  <c r="J49" i="1"/>
  <c r="L49" i="1"/>
  <c r="J50" i="1"/>
  <c r="L50" i="1"/>
  <c r="J51" i="1"/>
  <c r="L51" i="1"/>
  <c r="J52" i="1"/>
  <c r="L52" i="1"/>
  <c r="J53" i="1"/>
  <c r="L53" i="1"/>
  <c r="J54" i="1"/>
  <c r="L54" i="1"/>
  <c r="J55" i="1"/>
  <c r="L55" i="1"/>
  <c r="J56" i="1"/>
  <c r="L56" i="1"/>
  <c r="J57" i="1"/>
  <c r="L57" i="1"/>
  <c r="J58" i="1"/>
  <c r="L58" i="1"/>
  <c r="J59" i="1"/>
  <c r="L59" i="1"/>
  <c r="J60" i="1"/>
  <c r="L60" i="1"/>
  <c r="J61" i="1"/>
  <c r="L61" i="1"/>
  <c r="J62" i="1"/>
  <c r="L62" i="1"/>
  <c r="J63" i="1"/>
  <c r="L63" i="1"/>
  <c r="J64" i="1"/>
  <c r="L64" i="1"/>
  <c r="J65" i="1"/>
  <c r="L65" i="1"/>
  <c r="J66" i="1"/>
  <c r="L66" i="1"/>
  <c r="J67" i="1"/>
  <c r="L67" i="1"/>
  <c r="J68" i="1"/>
  <c r="L68" i="1"/>
  <c r="G54" i="2"/>
  <c r="Q6" i="1"/>
  <c r="R6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11" i="1"/>
  <c r="P6" i="1"/>
  <c r="O6" i="1"/>
  <c r="B6" i="1"/>
  <c r="H23" i="2"/>
  <c r="I22" i="2"/>
  <c r="G37" i="2"/>
  <c r="G38" i="2"/>
  <c r="J37" i="2"/>
  <c r="J38" i="2"/>
  <c r="J39" i="2"/>
  <c r="I37" i="2"/>
  <c r="I38" i="2"/>
  <c r="I39" i="2"/>
  <c r="K37" i="2"/>
  <c r="K38" i="2"/>
  <c r="K39" i="2"/>
  <c r="J22" i="2"/>
  <c r="J23" i="2"/>
  <c r="K22" i="2"/>
  <c r="D23" i="2"/>
  <c r="H24" i="2"/>
  <c r="I23" i="2"/>
  <c r="J24" i="2"/>
  <c r="K23" i="2"/>
  <c r="D24" i="2"/>
  <c r="H25" i="2"/>
  <c r="I24" i="2"/>
  <c r="J25" i="2"/>
  <c r="K24" i="2"/>
  <c r="D25" i="2"/>
  <c r="H26" i="2"/>
  <c r="I25" i="2"/>
  <c r="J26" i="2"/>
  <c r="K25" i="2"/>
  <c r="D26" i="2"/>
  <c r="H27" i="2"/>
  <c r="I26" i="2"/>
  <c r="J27" i="2"/>
  <c r="K26" i="2"/>
  <c r="D27" i="2"/>
  <c r="H28" i="2"/>
  <c r="I27" i="2"/>
  <c r="J28" i="2"/>
  <c r="K27" i="2"/>
  <c r="D28" i="2"/>
  <c r="H29" i="2"/>
  <c r="I28" i="2"/>
  <c r="J29" i="2"/>
  <c r="K28" i="2"/>
  <c r="D29" i="2"/>
  <c r="H30" i="2"/>
  <c r="I29" i="2"/>
  <c r="J30" i="2"/>
  <c r="K29" i="2"/>
  <c r="D30" i="2"/>
  <c r="N68" i="1"/>
  <c r="O68" i="1"/>
  <c r="N67" i="1"/>
  <c r="O67" i="1"/>
  <c r="N66" i="1"/>
  <c r="O66" i="1"/>
  <c r="N65" i="1"/>
  <c r="O65" i="1"/>
  <c r="N64" i="1"/>
  <c r="O64" i="1"/>
  <c r="N63" i="1"/>
  <c r="O63" i="1"/>
  <c r="N62" i="1"/>
  <c r="O62" i="1"/>
  <c r="N61" i="1"/>
  <c r="O61" i="1"/>
  <c r="N60" i="1"/>
  <c r="O60" i="1"/>
  <c r="N59" i="1"/>
  <c r="O59" i="1"/>
  <c r="N58" i="1"/>
  <c r="O58" i="1"/>
  <c r="N57" i="1"/>
  <c r="O57" i="1"/>
  <c r="N56" i="1"/>
  <c r="O56" i="1"/>
  <c r="N55" i="1"/>
  <c r="O55" i="1"/>
  <c r="N54" i="1"/>
  <c r="O54" i="1"/>
  <c r="N53" i="1"/>
  <c r="O53" i="1"/>
  <c r="N52" i="1"/>
  <c r="O52" i="1"/>
  <c r="N51" i="1"/>
  <c r="O51" i="1"/>
  <c r="N50" i="1"/>
  <c r="O50" i="1"/>
  <c r="N49" i="1"/>
  <c r="O49" i="1"/>
  <c r="N48" i="1"/>
  <c r="O48" i="1"/>
  <c r="C6" i="1"/>
  <c r="N13" i="1"/>
  <c r="O13" i="1"/>
  <c r="N12" i="1"/>
  <c r="O12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C70" i="1"/>
  <c r="D70" i="1"/>
  <c r="F70" i="1"/>
  <c r="G70" i="1"/>
  <c r="B70" i="1"/>
  <c r="K11" i="1"/>
  <c r="M11" i="1"/>
  <c r="M70" i="1"/>
  <c r="P91" i="2"/>
  <c r="J11" i="1"/>
  <c r="L11" i="1"/>
  <c r="L70" i="1"/>
  <c r="O91" i="2"/>
  <c r="K70" i="1"/>
  <c r="N91" i="2"/>
  <c r="J70" i="1"/>
  <c r="M91" i="2"/>
  <c r="Q11" i="1"/>
  <c r="N11" i="1"/>
  <c r="O11" i="1"/>
  <c r="O70" i="1"/>
  <c r="N70" i="1"/>
</calcChain>
</file>

<file path=xl/sharedStrings.xml><?xml version="1.0" encoding="utf-8"?>
<sst xmlns="http://schemas.openxmlformats.org/spreadsheetml/2006/main" count="174" uniqueCount="98">
  <si>
    <t>http://gailtheactuary.files.wordpress.com/2012/12/world-fossil-fuel-supply-oil-natural-gas-coal.png</t>
  </si>
  <si>
    <t>Initial Total HC production (Mboe)</t>
  </si>
  <si>
    <t>YR</t>
  </si>
  <si>
    <t>https://www.google.co.uk/search?rls=com.microsoft:en-US:%7Breferrer:source%3F%7D&amp;rlz=1I7SKPB_enGB370&amp;biw=1420&amp;bih=487&amp;tbm=isch&amp;source=univ&amp;sa=X&amp;ei=1suGVPeTD8LwUvihg9AL&amp;ved=0CEgQsAQ&amp;q=total%20world%20coal%20oil%20gas%20production</t>
  </si>
  <si>
    <t>Oil</t>
  </si>
  <si>
    <t>Coal</t>
  </si>
  <si>
    <t>Gas</t>
  </si>
  <si>
    <t>TOTAL</t>
  </si>
  <si>
    <t># C7H16</t>
  </si>
  <si>
    <t># CH4</t>
  </si>
  <si>
    <t># C75H150</t>
  </si>
  <si>
    <t>Atomic wt.</t>
  </si>
  <si>
    <t>carbon content</t>
  </si>
  <si>
    <t>Carbon dioxide</t>
  </si>
  <si>
    <t>#Co2</t>
  </si>
  <si>
    <t>Relative wt per C atom</t>
  </si>
  <si>
    <t>c</t>
  </si>
  <si>
    <t xml:space="preserve">o </t>
  </si>
  <si>
    <t>oxygen content</t>
  </si>
  <si>
    <t>hydrogen content</t>
  </si>
  <si>
    <t>h</t>
  </si>
  <si>
    <t>Av</t>
  </si>
  <si>
    <t>Addn'l Cost</t>
  </si>
  <si>
    <t xml:space="preserve"> CO2 relese ratio</t>
  </si>
  <si>
    <t>Chemical composition</t>
  </si>
  <si>
    <t>Nat Gas</t>
  </si>
  <si>
    <t>FROM</t>
  </si>
  <si>
    <t>GRAPH</t>
  </si>
  <si>
    <t>Btoe</t>
  </si>
  <si>
    <t>Carbon Release Bt</t>
  </si>
  <si>
    <t>% An Inc.</t>
  </si>
  <si>
    <t>Fosil fuel DEMAND</t>
  </si>
  <si>
    <t>%/an</t>
  </si>
  <si>
    <t>NEW Red HC capture capacity req'd</t>
  </si>
  <si>
    <t xml:space="preserve"> bTe / an</t>
  </si>
  <si>
    <t>Req'd absolute CO2 decline target</t>
  </si>
  <si>
    <t xml:space="preserve"> %</t>
  </si>
  <si>
    <t>Btoe /an</t>
  </si>
  <si>
    <t>bTe/an</t>
  </si>
  <si>
    <t>CCS investment</t>
  </si>
  <si>
    <t>#</t>
  </si>
  <si>
    <t>Addn'l Cost per "standard" Power Plant</t>
  </si>
  <si>
    <t xml:space="preserve">lifetime cost </t>
  </si>
  <si>
    <t>bn</t>
  </si>
  <si>
    <t>Per capita cost</t>
  </si>
  <si>
    <t xml:space="preserve">This model assumes that any shortage between Demand and </t>
  </si>
  <si>
    <t>Suply of HC fuel will be forseen sufficiently in advance for investment</t>
  </si>
  <si>
    <t xml:space="preserve">in Red HC to be made to make up any inability of Black HC fuel to </t>
  </si>
  <si>
    <t>suply it.</t>
  </si>
  <si>
    <t>Population growth</t>
  </si>
  <si>
    <t>START DATE</t>
  </si>
  <si>
    <t>£/ton</t>
  </si>
  <si>
    <t xml:space="preserve">World Population bn </t>
  </si>
  <si>
    <t xml:space="preserve"> Emssions of "typical large Power Plant" (600MW)</t>
  </si>
  <si>
    <t>Mte</t>
  </si>
  <si>
    <t>£bn</t>
  </si>
  <si>
    <t>%</t>
  </si>
  <si>
    <t>World Population growth</t>
  </si>
  <si>
    <t>mMt</t>
  </si>
  <si>
    <t>TOTAL PROD'N (from Graph)</t>
  </si>
  <si>
    <t>Approx # of large Power Plants investments (with "standard" emssions):</t>
  </si>
  <si>
    <t>From INPUT SHEET :</t>
  </si>
  <si>
    <t>Start date</t>
  </si>
  <si>
    <t>DUAL MARKET MODEL</t>
  </si>
  <si>
    <t>yr</t>
  </si>
  <si>
    <t xml:space="preserve">Initial Total HC production </t>
  </si>
  <si>
    <t>Mboe</t>
  </si>
  <si>
    <t>Fm INPUT SHEET:</t>
  </si>
  <si>
    <t xml:space="preserve">1) Potential Co2 emission  </t>
  </si>
  <si>
    <t>2) Black HC (CO2 Allowed )</t>
  </si>
  <si>
    <t xml:space="preserve"> € Bn</t>
  </si>
  <si>
    <t>€ Bn</t>
  </si>
  <si>
    <t>€ bn</t>
  </si>
  <si>
    <t xml:space="preserve">World Population bn (in 2011) </t>
  </si>
  <si>
    <t>€</t>
  </si>
  <si>
    <t>3) SUBSTITUTION MARKET - O/all Cfree</t>
  </si>
  <si>
    <t>Initial Reneuable penetration</t>
  </si>
  <si>
    <t>CO2 emissions -   tolerable target decline rate</t>
  </si>
  <si>
    <t xml:space="preserve">Residual absolute decline (not exceeded) </t>
  </si>
  <si>
    <t xml:space="preserve">1) Co2 Emission Potential </t>
  </si>
  <si>
    <t xml:space="preserve">4) MARKET - Renewables </t>
  </si>
  <si>
    <t xml:space="preserve">5) MARKET - Red HC  </t>
  </si>
  <si>
    <t>2) Black HC MARKET (CO2 Allowed )</t>
  </si>
  <si>
    <t>Reneuable penetration growth rate (i.e. NOT the % penetration!)</t>
  </si>
  <si>
    <t>RENUABLES investment cost £/ton (displaced)</t>
  </si>
  <si>
    <t>CCS investment cost £/ton (SEQUESTERED)</t>
  </si>
  <si>
    <t>Estimated HC production GROWTH rate</t>
  </si>
  <si>
    <t>Renewables investment</t>
  </si>
  <si>
    <t>NEW Renuables capacity req'd</t>
  </si>
  <si>
    <t>CO2 emissions -   tolerable target decline rate. MAX =</t>
  </si>
  <si>
    <t xml:space="preserve">CO2 emissions decline rate. </t>
  </si>
  <si>
    <t>First yr of decline</t>
  </si>
  <si>
    <t>Red HC % of available market</t>
  </si>
  <si>
    <t>Reneuable current growth rate</t>
  </si>
  <si>
    <t>Reneuable current level</t>
  </si>
  <si>
    <t xml:space="preserve">4) RENUABLES  MARKET GROWTH - </t>
  </si>
  <si>
    <t>5) Red HC MARKET GROWTH</t>
  </si>
  <si>
    <t>3)  O/all NEW Cfree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</si>
</sst>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&quot;£&quot;#,##0"/>
    <numFmt numFmtId="165" formatCode="#,##0_ ;[Red]\-#,##0\ "/>
    <numFmt numFmtId="166" formatCode="0.0"/>
    <numFmt numFmtId="167" formatCode="_-* #,##0_-;\-* #,##0_-;_-* &quot;-&quot;??_-;_-@_-"/>
    <numFmt numFmtId="168" formatCode="#,##0.0_ ;[Red]\-#,##0.0\ "/>
    <numFmt numFmtId="169" formatCode="_-[$€-2]\ * #,##0_-;\-[$€-2]\ * #,##0_-;_-[$€-2]\ * &quot;-&quot;??_-;_-@_-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Calibri"/>
      <scheme val="minor"/>
    </font>
    <font>
      <i/>
      <sz val="12"/>
      <color theme="0" tint="-0.34998626667073579"/>
      <name val="Calibri"/>
      <scheme val="minor"/>
    </font>
    <font>
      <b/>
      <i/>
      <sz val="12"/>
      <color theme="0" tint="-0.34998626667073579"/>
      <name val="Calibri"/>
      <scheme val="minor"/>
    </font>
    <font>
      <b/>
      <i/>
      <sz val="12"/>
      <name val="Calibri"/>
      <scheme val="minor"/>
    </font>
    <font>
      <b/>
      <sz val="12"/>
      <name val="Calibri"/>
      <scheme val="minor"/>
    </font>
    <font>
      <i/>
      <sz val="12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i/>
      <sz val="14"/>
      <name val="Calibri"/>
      <scheme val="minor"/>
    </font>
    <font>
      <b/>
      <sz val="11"/>
      <color theme="1"/>
      <name val="Calibri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scheme val="minor"/>
    </font>
    <font>
      <b/>
      <i/>
      <sz val="12"/>
      <color theme="0"/>
      <name val="Calibri"/>
      <scheme val="minor"/>
    </font>
    <font>
      <i/>
      <sz val="12"/>
      <color theme="0"/>
      <name val="Calibri"/>
      <scheme val="minor"/>
    </font>
    <font>
      <sz val="14"/>
      <name val="Calibri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darkVertical">
        <fgColor theme="9"/>
        <bgColor theme="0" tint="-0.34998626667073579"/>
      </patternFill>
    </fill>
    <fill>
      <patternFill patternType="darkDown">
        <fgColor rgb="FFFF0000"/>
        <bgColor theme="0" tint="-0.34998626667073579"/>
      </patternFill>
    </fill>
    <fill>
      <patternFill patternType="darkGrid">
        <fgColor theme="9"/>
        <bgColor theme="7" tint="0.39997558519241921"/>
      </patternFill>
    </fill>
    <fill>
      <patternFill patternType="lightHorizontal">
        <fgColor rgb="FFFF0000"/>
        <bgColor theme="3" tint="0.5999938962981048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64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2">
    <xf numFmtId="0" fontId="0" fillId="0" borderId="0" xfId="0"/>
    <xf numFmtId="2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8" fillId="4" borderId="0" xfId="0" applyFont="1" applyFill="1"/>
    <xf numFmtId="0" fontId="0" fillId="4" borderId="0" xfId="0" applyFill="1"/>
    <xf numFmtId="2" fontId="0" fillId="4" borderId="0" xfId="0" applyNumberFormat="1" applyFill="1"/>
    <xf numFmtId="2" fontId="5" fillId="0" borderId="0" xfId="0" applyNumberFormat="1" applyFont="1"/>
    <xf numFmtId="2" fontId="10" fillId="0" borderId="0" xfId="0" applyNumberFormat="1" applyFont="1"/>
    <xf numFmtId="0" fontId="5" fillId="0" borderId="0" xfId="0" applyFont="1" applyAlignment="1">
      <alignment horizontal="center"/>
    </xf>
    <xf numFmtId="164" fontId="10" fillId="0" borderId="0" xfId="0" applyNumberFormat="1" applyFont="1"/>
    <xf numFmtId="2" fontId="12" fillId="0" borderId="0" xfId="0" applyNumberFormat="1" applyFont="1"/>
    <xf numFmtId="0" fontId="0" fillId="4" borderId="0" xfId="0" applyNumberFormat="1" applyFill="1" applyBorder="1" applyAlignment="1">
      <alignment wrapText="1"/>
    </xf>
    <xf numFmtId="2" fontId="16" fillId="0" borderId="5" xfId="0" applyNumberFormat="1" applyFont="1" applyBorder="1"/>
    <xf numFmtId="2" fontId="16" fillId="0" borderId="3" xfId="0" applyNumberFormat="1" applyFont="1" applyBorder="1"/>
    <xf numFmtId="167" fontId="17" fillId="0" borderId="3" xfId="56" applyNumberFormat="1" applyFont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164" fontId="10" fillId="2" borderId="0" xfId="0" applyNumberFormat="1" applyFont="1" applyFill="1"/>
    <xf numFmtId="0" fontId="0" fillId="9" borderId="0" xfId="0" applyFill="1"/>
    <xf numFmtId="166" fontId="0" fillId="0" borderId="0" xfId="0" applyNumberFormat="1" applyFill="1" applyAlignment="1">
      <alignment horizontal="right"/>
    </xf>
    <xf numFmtId="9" fontId="0" fillId="5" borderId="0" xfId="1" applyFont="1" applyFill="1"/>
    <xf numFmtId="0" fontId="0" fillId="10" borderId="0" xfId="0" applyFill="1"/>
    <xf numFmtId="0" fontId="14" fillId="10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12" fillId="10" borderId="0" xfId="0" quotePrefix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16" fillId="0" borderId="3" xfId="1" applyFont="1" applyBorder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4" fillId="12" borderId="0" xfId="0" applyFont="1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2" fontId="4" fillId="11" borderId="0" xfId="0" applyNumberFormat="1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14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vertical="center" wrapText="1"/>
    </xf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0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5" xfId="0" applyFill="1" applyBorder="1"/>
    <xf numFmtId="0" fontId="0" fillId="8" borderId="16" xfId="0" applyFill="1" applyBorder="1"/>
    <xf numFmtId="6" fontId="19" fillId="7" borderId="0" xfId="0" quotePrefix="1" applyNumberFormat="1" applyFont="1" applyFill="1" applyAlignment="1">
      <alignment horizontal="center"/>
    </xf>
    <xf numFmtId="165" fontId="19" fillId="7" borderId="0" xfId="0" quotePrefix="1" applyNumberFormat="1" applyFont="1" applyFill="1" applyAlignment="1">
      <alignment horizontal="center"/>
    </xf>
    <xf numFmtId="168" fontId="19" fillId="7" borderId="0" xfId="0" quotePrefix="1" applyNumberFormat="1" applyFont="1" applyFill="1" applyAlignment="1">
      <alignment horizontal="center"/>
    </xf>
    <xf numFmtId="9" fontId="4" fillId="7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9" fillId="7" borderId="3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4" borderId="0" xfId="0" quotePrefix="1" applyFont="1" applyFill="1" applyAlignment="1">
      <alignment horizontal="center" wrapText="1"/>
    </xf>
    <xf numFmtId="0" fontId="0" fillId="4" borderId="0" xfId="0" applyFill="1" applyAlignment="1">
      <alignment wrapText="1"/>
    </xf>
    <xf numFmtId="10" fontId="19" fillId="7" borderId="3" xfId="1" applyNumberFormat="1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center" vertical="center" wrapText="1"/>
    </xf>
    <xf numFmtId="2" fontId="12" fillId="14" borderId="0" xfId="0" applyNumberFormat="1" applyFont="1" applyFill="1" applyAlignment="1">
      <alignment horizontal="center" vertical="center" wrapText="1"/>
    </xf>
    <xf numFmtId="0" fontId="12" fillId="14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/>
    </xf>
    <xf numFmtId="2" fontId="0" fillId="10" borderId="0" xfId="0" applyNumberFormat="1" applyFill="1" applyAlignment="1">
      <alignment horizontal="center"/>
    </xf>
    <xf numFmtId="169" fontId="10" fillId="0" borderId="0" xfId="135" applyNumberFormat="1" applyFont="1"/>
    <xf numFmtId="169" fontId="11" fillId="0" borderId="0" xfId="135" applyNumberFormat="1" applyFont="1"/>
    <xf numFmtId="169" fontId="0" fillId="0" borderId="0" xfId="135" applyNumberFormat="1" applyFont="1"/>
    <xf numFmtId="169" fontId="17" fillId="0" borderId="3" xfId="135" applyNumberFormat="1" applyFont="1" applyBorder="1" applyAlignment="1">
      <alignment horizontal="right"/>
    </xf>
    <xf numFmtId="169" fontId="10" fillId="0" borderId="0" xfId="0" applyNumberFormat="1" applyFont="1"/>
    <xf numFmtId="169" fontId="0" fillId="0" borderId="0" xfId="0" applyNumberFormat="1"/>
    <xf numFmtId="169" fontId="17" fillId="0" borderId="3" xfId="135" applyNumberFormat="1" applyFont="1" applyBorder="1"/>
    <xf numFmtId="169" fontId="17" fillId="0" borderId="3" xfId="0" applyNumberFormat="1" applyFont="1" applyBorder="1"/>
    <xf numFmtId="169" fontId="17" fillId="0" borderId="3" xfId="0" applyNumberFormat="1" applyFont="1" applyBorder="1" applyAlignment="1">
      <alignment horizontal="right"/>
    </xf>
    <xf numFmtId="166" fontId="10" fillId="0" borderId="0" xfId="0" applyNumberFormat="1" applyFont="1"/>
    <xf numFmtId="0" fontId="0" fillId="3" borderId="0" xfId="0" applyFill="1" applyAlignment="1">
      <alignment wrapText="1"/>
    </xf>
    <xf numFmtId="2" fontId="21" fillId="7" borderId="0" xfId="0" applyNumberFormat="1" applyFont="1" applyFill="1"/>
    <xf numFmtId="9" fontId="0" fillId="0" borderId="0" xfId="0" applyNumberFormat="1" applyAlignment="1">
      <alignment horizontal="center"/>
    </xf>
    <xf numFmtId="0" fontId="4" fillId="16" borderId="0" xfId="0" applyFont="1" applyFill="1" applyAlignment="1">
      <alignment vertical="center" wrapText="1"/>
    </xf>
    <xf numFmtId="0" fontId="19" fillId="7" borderId="0" xfId="0" applyFont="1" applyFill="1" applyAlignment="1">
      <alignment horizontal="center"/>
    </xf>
    <xf numFmtId="10" fontId="13" fillId="0" borderId="0" xfId="0" applyNumberFormat="1" applyFont="1"/>
    <xf numFmtId="0" fontId="12" fillId="6" borderId="0" xfId="0" applyFont="1" applyFill="1" applyAlignment="1">
      <alignment vertical="center" wrapText="1"/>
    </xf>
    <xf numFmtId="0" fontId="4" fillId="18" borderId="0" xfId="0" applyFont="1" applyFill="1" applyAlignment="1">
      <alignment vertical="center" wrapText="1"/>
    </xf>
    <xf numFmtId="2" fontId="4" fillId="17" borderId="0" xfId="0" applyNumberFormat="1" applyFont="1" applyFill="1" applyAlignment="1">
      <alignment vertical="center" wrapText="1"/>
    </xf>
    <xf numFmtId="0" fontId="4" fillId="19" borderId="0" xfId="0" applyFont="1" applyFill="1" applyAlignment="1">
      <alignment vertical="center" wrapText="1"/>
    </xf>
    <xf numFmtId="10" fontId="19" fillId="7" borderId="0" xfId="1" applyNumberFormat="1" applyFont="1" applyFill="1" applyAlignment="1">
      <alignment horizontal="center"/>
    </xf>
    <xf numFmtId="0" fontId="12" fillId="20" borderId="0" xfId="0" applyFont="1" applyFill="1" applyAlignment="1">
      <alignment vertical="center" wrapText="1"/>
    </xf>
    <xf numFmtId="0" fontId="12" fillId="21" borderId="0" xfId="0" applyFont="1" applyFill="1" applyAlignment="1">
      <alignment vertical="center" wrapText="1"/>
    </xf>
    <xf numFmtId="0" fontId="12" fillId="22" borderId="0" xfId="0" applyFont="1" applyFill="1" applyAlignment="1">
      <alignment vertical="center" wrapText="1"/>
    </xf>
    <xf numFmtId="0" fontId="12" fillId="23" borderId="0" xfId="0" applyFont="1" applyFill="1" applyAlignment="1">
      <alignment vertical="center" wrapText="1"/>
    </xf>
    <xf numFmtId="0" fontId="9" fillId="24" borderId="0" xfId="0" applyFont="1" applyFill="1" applyAlignment="1">
      <alignment horizontal="center"/>
    </xf>
    <xf numFmtId="2" fontId="9" fillId="24" borderId="0" xfId="0" applyNumberFormat="1" applyFont="1" applyFill="1"/>
    <xf numFmtId="2" fontId="10" fillId="24" borderId="0" xfId="0" applyNumberFormat="1" applyFont="1" applyFill="1"/>
    <xf numFmtId="169" fontId="10" fillId="24" borderId="0" xfId="135" applyNumberFormat="1" applyFont="1" applyFill="1"/>
    <xf numFmtId="10" fontId="13" fillId="24" borderId="0" xfId="0" applyNumberFormat="1" applyFont="1" applyFill="1"/>
    <xf numFmtId="166" fontId="10" fillId="24" borderId="0" xfId="0" applyNumberFormat="1" applyFont="1" applyFill="1"/>
    <xf numFmtId="169" fontId="10" fillId="24" borderId="0" xfId="0" applyNumberFormat="1" applyFont="1" applyFill="1"/>
    <xf numFmtId="10" fontId="19" fillId="7" borderId="0" xfId="0" applyNumberFormat="1" applyFont="1" applyFill="1" applyAlignment="1">
      <alignment horizontal="center" vertical="center" wrapText="1"/>
    </xf>
    <xf numFmtId="9" fontId="19" fillId="7" borderId="0" xfId="0" applyNumberFormat="1" applyFont="1" applyFill="1" applyAlignment="1">
      <alignment horizontal="center"/>
    </xf>
    <xf numFmtId="10" fontId="19" fillId="7" borderId="0" xfId="1" applyNumberFormat="1" applyFont="1" applyFill="1"/>
    <xf numFmtId="10" fontId="14" fillId="15" borderId="0" xfId="1" applyNumberFormat="1" applyFont="1" applyFill="1"/>
    <xf numFmtId="10" fontId="22" fillId="7" borderId="0" xfId="0" applyNumberFormat="1" applyFont="1" applyFill="1"/>
    <xf numFmtId="2" fontId="11" fillId="0" borderId="0" xfId="0" applyNumberFormat="1" applyFont="1" applyFill="1"/>
    <xf numFmtId="0" fontId="12" fillId="20" borderId="9" xfId="0" applyFont="1" applyFill="1" applyBorder="1" applyAlignment="1">
      <alignment vertical="center" wrapText="1"/>
    </xf>
    <xf numFmtId="0" fontId="12" fillId="21" borderId="10" xfId="0" applyFont="1" applyFill="1" applyBorder="1" applyAlignment="1">
      <alignment vertical="center" wrapText="1"/>
    </xf>
    <xf numFmtId="0" fontId="12" fillId="22" borderId="10" xfId="0" applyFont="1" applyFill="1" applyBorder="1" applyAlignment="1">
      <alignment vertical="center" wrapText="1"/>
    </xf>
    <xf numFmtId="0" fontId="12" fillId="23" borderId="11" xfId="0" applyFont="1" applyFill="1" applyBorder="1" applyAlignment="1">
      <alignment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2" fontId="16" fillId="0" borderId="2" xfId="0" applyNumberFormat="1" applyFont="1" applyBorder="1"/>
    <xf numFmtId="169" fontId="17" fillId="0" borderId="4" xfId="135" applyNumberFormat="1" applyFont="1" applyBorder="1" applyAlignment="1">
      <alignment horizontal="right"/>
    </xf>
    <xf numFmtId="0" fontId="20" fillId="4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10" fontId="23" fillId="6" borderId="3" xfId="0" applyNumberFormat="1" applyFont="1" applyFill="1" applyBorder="1" applyAlignment="1">
      <alignment horizontal="center" vertical="center" wrapText="1"/>
    </xf>
    <xf numFmtId="9" fontId="20" fillId="6" borderId="3" xfId="0" applyNumberFormat="1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10" fontId="20" fillId="6" borderId="3" xfId="1" applyNumberFormat="1" applyFont="1" applyFill="1" applyBorder="1" applyAlignment="1">
      <alignment horizontal="center" vertical="center" wrapText="1"/>
    </xf>
    <xf numFmtId="6" fontId="20" fillId="6" borderId="3" xfId="0" quotePrefix="1" applyNumberFormat="1" applyFont="1" applyFill="1" applyBorder="1" applyAlignment="1">
      <alignment horizontal="center" vertical="center"/>
    </xf>
    <xf numFmtId="165" fontId="20" fillId="6" borderId="3" xfId="0" quotePrefix="1" applyNumberFormat="1" applyFont="1" applyFill="1" applyBorder="1" applyAlignment="1">
      <alignment horizontal="center" vertical="center"/>
    </xf>
    <xf numFmtId="168" fontId="20" fillId="6" borderId="3" xfId="0" quotePrefix="1" applyNumberFormat="1" applyFont="1" applyFill="1" applyBorder="1" applyAlignment="1">
      <alignment horizontal="center" vertical="center"/>
    </xf>
    <xf numFmtId="9" fontId="20" fillId="6" borderId="3" xfId="0" applyNumberFormat="1" applyFont="1" applyFill="1" applyBorder="1" applyAlignment="1">
      <alignment horizontal="center" vertical="center" wrapText="1"/>
    </xf>
    <xf numFmtId="166" fontId="23" fillId="6" borderId="3" xfId="0" applyNumberFormat="1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10" fontId="16" fillId="6" borderId="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4" borderId="0" xfId="0" applyNumberFormat="1" applyFill="1" applyBorder="1" applyAlignment="1">
      <alignment horizontal="center" vertical="center" wrapText="1"/>
    </xf>
    <xf numFmtId="0" fontId="0" fillId="17" borderId="0" xfId="0" applyFill="1" applyAlignment="1">
      <alignment horizontal="center" vertical="center" wrapText="1"/>
    </xf>
    <xf numFmtId="10" fontId="19" fillId="7" borderId="0" xfId="0" applyNumberFormat="1" applyFont="1" applyFill="1" applyAlignment="1">
      <alignment horizontal="center"/>
    </xf>
  </cellXfs>
  <cellStyles count="364">
    <cellStyle name="Comma" xfId="56" builtinId="3"/>
    <cellStyle name="Currency" xfId="135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18721936617393E-2"/>
          <c:y val="3.5714285714285698E-2"/>
          <c:w val="0.67702219040801703"/>
          <c:h val="0.87161179371809305"/>
        </c:manualLayout>
      </c:layout>
      <c:areaChart>
        <c:grouping val="standard"/>
        <c:varyColors val="0"/>
        <c:ser>
          <c:idx val="0"/>
          <c:order val="0"/>
          <c:tx>
            <c:strRef>
              <c:f>'ECONOMIC MODEL'!$C$9:$C$10</c:f>
              <c:strCache>
                <c:ptCount val="2"/>
                <c:pt idx="0">
                  <c:v>1) Co2 Emission Potential </c:v>
                </c:pt>
                <c:pt idx="1">
                  <c:v>bTe/an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MODEL'!$C$15:$C$68</c:f>
              <c:numCache>
                <c:formatCode>0.00</c:formatCode>
                <c:ptCount val="54"/>
                <c:pt idx="0">
                  <c:v>33.331239563789055</c:v>
                </c:pt>
                <c:pt idx="1">
                  <c:v>33.414567662698524</c:v>
                </c:pt>
                <c:pt idx="2">
                  <c:v>33.498104081855267</c:v>
                </c:pt>
                <c:pt idx="3">
                  <c:v>33.581849342059904</c:v>
                </c:pt>
                <c:pt idx="4">
                  <c:v>33.665803965415051</c:v>
                </c:pt>
                <c:pt idx="5">
                  <c:v>33.749968475328593</c:v>
                </c:pt>
                <c:pt idx="6">
                  <c:v>33.834343396516914</c:v>
                </c:pt>
                <c:pt idx="7">
                  <c:v>33.918929255008202</c:v>
                </c:pt>
                <c:pt idx="8">
                  <c:v>34.003726578145724</c:v>
                </c:pt>
                <c:pt idx="9">
                  <c:v>34.088735894591082</c:v>
                </c:pt>
                <c:pt idx="10">
                  <c:v>34.173957734327558</c:v>
                </c:pt>
                <c:pt idx="11">
                  <c:v>34.259392628663377</c:v>
                </c:pt>
                <c:pt idx="12">
                  <c:v>34.34504111023503</c:v>
                </c:pt>
                <c:pt idx="13">
                  <c:v>34.430903713010615</c:v>
                </c:pt>
                <c:pt idx="14">
                  <c:v>34.51698097229314</c:v>
                </c:pt>
                <c:pt idx="15">
                  <c:v>34.603273424723866</c:v>
                </c:pt>
                <c:pt idx="16">
                  <c:v>34.689781608285671</c:v>
                </c:pt>
                <c:pt idx="17">
                  <c:v>34.776506062306389</c:v>
                </c:pt>
                <c:pt idx="18">
                  <c:v>34.863447327462154</c:v>
                </c:pt>
                <c:pt idx="19">
                  <c:v>34.950605945780808</c:v>
                </c:pt>
                <c:pt idx="20">
                  <c:v>35.037982460645253</c:v>
                </c:pt>
                <c:pt idx="21">
                  <c:v>35.125577416796865</c:v>
                </c:pt>
                <c:pt idx="22">
                  <c:v>35.213391360338854</c:v>
                </c:pt>
                <c:pt idx="23">
                  <c:v>35.301424838739699</c:v>
                </c:pt>
                <c:pt idx="24">
                  <c:v>35.389678400836544</c:v>
                </c:pt>
                <c:pt idx="25">
                  <c:v>35.478152596838633</c:v>
                </c:pt>
                <c:pt idx="26">
                  <c:v>35.566847978330728</c:v>
                </c:pt>
                <c:pt idx="27">
                  <c:v>35.655765098276554</c:v>
                </c:pt>
                <c:pt idx="28">
                  <c:v>35.744904511022241</c:v>
                </c:pt>
                <c:pt idx="29">
                  <c:v>35.834266772299799</c:v>
                </c:pt>
                <c:pt idx="30">
                  <c:v>35.923852439230544</c:v>
                </c:pt>
                <c:pt idx="31">
                  <c:v>36.013662070328621</c:v>
                </c:pt>
                <c:pt idx="32">
                  <c:v>36.103696225504443</c:v>
                </c:pt>
                <c:pt idx="33">
                  <c:v>36.193955466068203</c:v>
                </c:pt>
                <c:pt idx="34">
                  <c:v>36.28444035473337</c:v>
                </c:pt>
                <c:pt idx="35">
                  <c:v>36.375151455620205</c:v>
                </c:pt>
                <c:pt idx="36">
                  <c:v>36.466089334259252</c:v>
                </c:pt>
                <c:pt idx="37">
                  <c:v>36.557254557594902</c:v>
                </c:pt>
                <c:pt idx="38">
                  <c:v>36.648647693988892</c:v>
                </c:pt>
                <c:pt idx="39">
                  <c:v>36.740269313223862</c:v>
                </c:pt>
                <c:pt idx="40">
                  <c:v>36.832119986506918</c:v>
                </c:pt>
                <c:pt idx="41">
                  <c:v>36.92420028647318</c:v>
                </c:pt>
                <c:pt idx="42">
                  <c:v>37.016510787189361</c:v>
                </c:pt>
                <c:pt idx="43">
                  <c:v>37.109052064157332</c:v>
                </c:pt>
                <c:pt idx="44">
                  <c:v>37.201824694317722</c:v>
                </c:pt>
                <c:pt idx="45">
                  <c:v>37.294829256053518</c:v>
                </c:pt>
                <c:pt idx="46">
                  <c:v>37.388066329193649</c:v>
                </c:pt>
                <c:pt idx="47">
                  <c:v>37.481536495016627</c:v>
                </c:pt>
                <c:pt idx="48">
                  <c:v>37.575240336254168</c:v>
                </c:pt>
                <c:pt idx="49">
                  <c:v>37.6691784370948</c:v>
                </c:pt>
                <c:pt idx="50">
                  <c:v>37.763351383187533</c:v>
                </c:pt>
                <c:pt idx="51">
                  <c:v>37.857759761645497</c:v>
                </c:pt>
                <c:pt idx="52">
                  <c:v>37.952404161049614</c:v>
                </c:pt>
                <c:pt idx="53">
                  <c:v>38.047285171452238</c:v>
                </c:pt>
              </c:numCache>
            </c:numRef>
          </c:val>
        </c:ser>
        <c:ser>
          <c:idx val="1"/>
          <c:order val="1"/>
          <c:tx>
            <c:strRef>
              <c:f>'ECONOMIC MODEL'!$F$9:$F$10</c:f>
              <c:strCache>
                <c:ptCount val="2"/>
                <c:pt idx="0">
                  <c:v>2) Black HC MARKET (CO2 Allowed )</c:v>
                </c:pt>
                <c:pt idx="1">
                  <c:v>bTe/an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val>
            <c:numRef>
              <c:f>'ECONOMIC MODEL'!$F$15:$F$68</c:f>
              <c:numCache>
                <c:formatCode>0.00</c:formatCode>
                <c:ptCount val="54"/>
                <c:pt idx="0">
                  <c:v>33.331239563789055</c:v>
                </c:pt>
                <c:pt idx="1">
                  <c:v>33.414567662698524</c:v>
                </c:pt>
                <c:pt idx="2">
                  <c:v>33.498104081855267</c:v>
                </c:pt>
                <c:pt idx="3">
                  <c:v>33.581849342059904</c:v>
                </c:pt>
                <c:pt idx="4">
                  <c:v>33.665803965415051</c:v>
                </c:pt>
                <c:pt idx="5">
                  <c:v>33.749968475328593</c:v>
                </c:pt>
                <c:pt idx="6">
                  <c:v>33.834343396516914</c:v>
                </c:pt>
                <c:pt idx="7">
                  <c:v>33.852377187739684</c:v>
                </c:pt>
                <c:pt idx="8">
                  <c:v>33.803856933987916</c:v>
                </c:pt>
                <c:pt idx="9">
                  <c:v>33.688855268787812</c:v>
                </c:pt>
                <c:pt idx="10">
                  <c:v>33.507731492698845</c:v>
                </c:pt>
                <c:pt idx="11">
                  <c:v>33.261131465003587</c:v>
                </c:pt>
                <c:pt idx="12">
                  <c:v>32.949986262913356</c:v>
                </c:pt>
                <c:pt idx="13">
                  <c:v>32.575509607883738</c:v>
                </c:pt>
                <c:pt idx="14">
                  <c:v>32.139194063932365</c:v>
                </c:pt>
                <c:pt idx="15">
                  <c:v>31.642806018155007</c:v>
                </c:pt>
                <c:pt idx="16">
                  <c:v>31.088379458922915</c:v>
                </c:pt>
                <c:pt idx="17">
                  <c:v>30.47820857249015</c:v>
                </c:pt>
                <c:pt idx="18">
                  <c:v>29.814839183923684</c:v>
                </c:pt>
                <c:pt idx="19">
                  <c:v>29.101059073367015</c:v>
                </c:pt>
                <c:pt idx="20">
                  <c:v>28.339887203638195</c:v>
                </c:pt>
                <c:pt idx="21">
                  <c:v>27.534561900023885</c:v>
                </c:pt>
                <c:pt idx="22">
                  <c:v>26.688528027840071</c:v>
                </c:pt>
                <c:pt idx="23">
                  <c:v>25.805423217867077</c:v>
                </c:pt>
                <c:pt idx="24">
                  <c:v>24.889063194110463</c:v>
                </c:pt>
                <c:pt idx="25">
                  <c:v>23.943426262471384</c:v>
                </c:pt>
                <c:pt idx="26">
                  <c:v>22.972637022810392</c:v>
                </c:pt>
                <c:pt idx="27">
                  <c:v>21.98094937054039</c:v>
                </c:pt>
                <c:pt idx="28">
                  <c:v>20.972728857269786</c:v>
                </c:pt>
                <c:pt idx="29">
                  <c:v>19.952434483120509</c:v>
                </c:pt>
                <c:pt idx="30">
                  <c:v>18.924599996152342</c:v>
                </c:pt>
                <c:pt idx="31">
                  <c:v>17.893814776821788</c:v>
                </c:pt>
                <c:pt idx="32">
                  <c:v>16.86470438757765</c:v>
                </c:pt>
                <c:pt idx="33">
                  <c:v>15.841910869536203</c:v>
                </c:pt>
                <c:pt idx="34">
                  <c:v>14.830072869676414</c:v>
                </c:pt>
                <c:pt idx="35">
                  <c:v>13.833805683141902</c:v>
                </c:pt>
                <c:pt idx="36">
                  <c:v>12.857681296024863</c:v>
                </c:pt>
                <c:pt idx="37">
                  <c:v>11.906208514432517</c:v>
                </c:pt>
                <c:pt idx="38">
                  <c:v>10.983813265695103</c:v>
                </c:pt>
                <c:pt idx="39">
                  <c:v>10.094819157264419</c:v>
                </c:pt>
                <c:pt idx="40">
                  <c:v>9.2434283781722151</c:v>
                </c:pt>
                <c:pt idx="41">
                  <c:v>8.4337030268699138</c:v>
                </c:pt>
                <c:pt idx="42">
                  <c:v>7.6695469478578504</c:v>
                </c:pt>
                <c:pt idx="43">
                  <c:v>6.9546881577372472</c:v>
                </c:pt>
                <c:pt idx="44">
                  <c:v>6.2926619391879859</c:v>
                </c:pt>
                <c:pt idx="45">
                  <c:v>5.6867946788966686</c:v>
                </c:pt>
                <c:pt idx="46">
                  <c:v>5.1401885226417674</c:v>
                </c:pt>
                <c:pt idx="47">
                  <c:v>4.655706917596115</c:v>
                </c:pt>
                <c:pt idx="48">
                  <c:v>4.2359611084435</c:v>
                </c:pt>
                <c:pt idx="49">
                  <c:v>3.8832976501389527</c:v>
                </c:pt>
                <c:pt idx="50">
                  <c:v>3.5997869960862321</c:v>
                </c:pt>
                <c:pt idx="51">
                  <c:v>3.3872132161769146</c:v>
                </c:pt>
                <c:pt idx="52">
                  <c:v>3.2470648945506446</c:v>
                </c:pt>
                <c:pt idx="53">
                  <c:v>3.1805272521139965</c:v>
                </c:pt>
              </c:numCache>
            </c:numRef>
          </c:val>
        </c:ser>
        <c:ser>
          <c:idx val="2"/>
          <c:order val="2"/>
          <c:tx>
            <c:strRef>
              <c:f>'ECONOMIC MODEL'!$H$9:$H$10</c:f>
              <c:strCache>
                <c:ptCount val="2"/>
                <c:pt idx="0">
                  <c:v>4) RENUABLES  MARKET GROWTH - </c:v>
                </c:pt>
                <c:pt idx="1">
                  <c:v>bTe/an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val>
            <c:numRef>
              <c:f>'ECONOMIC MODEL'!$H$15:$H$68</c:f>
              <c:numCache>
                <c:formatCode>0.00</c:formatCode>
                <c:ptCount val="54"/>
                <c:pt idx="0">
                  <c:v>0.52030200500000001</c:v>
                </c:pt>
                <c:pt idx="1">
                  <c:v>0.52550502504999996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2.6620826907407039E-2</c:v>
                </c:pt>
                <c:pt idx="8">
                  <c:v>7.9947857663123054E-2</c:v>
                </c:pt>
                <c:pt idx="9">
                  <c:v>0.15995225032130805</c:v>
                </c:pt>
                <c:pt idx="10">
                  <c:v>0.26649049665148539</c:v>
                </c:pt>
                <c:pt idx="11">
                  <c:v>0.3993044654639164</c:v>
                </c:pt>
                <c:pt idx="12">
                  <c:v>0.55802193892866969</c:v>
                </c:pt>
                <c:pt idx="13">
                  <c:v>0.74215764205075063</c:v>
                </c:pt>
                <c:pt idx="14">
                  <c:v>0.95111476334431022</c:v>
                </c:pt>
                <c:pt idx="15">
                  <c:v>1.1841869626275441</c:v>
                </c:pt>
                <c:pt idx="16">
                  <c:v>1.4405608597451023</c:v>
                </c:pt>
                <c:pt idx="17">
                  <c:v>1.7193189959264956</c:v>
                </c:pt>
                <c:pt idx="18">
                  <c:v>2.019443257415388</c:v>
                </c:pt>
                <c:pt idx="19">
                  <c:v>2.3398187489655173</c:v>
                </c:pt>
                <c:pt idx="20">
                  <c:v>2.6792381028028234</c:v>
                </c:pt>
                <c:pt idx="21">
                  <c:v>3.0364062067091924</c:v>
                </c:pt>
                <c:pt idx="22">
                  <c:v>3.4099453329995129</c:v>
                </c:pt>
                <c:pt idx="23">
                  <c:v>3.7984006483490491</c:v>
                </c:pt>
                <c:pt idx="24">
                  <c:v>4.2002460826904331</c:v>
                </c:pt>
                <c:pt idx="25">
                  <c:v>4.6138905337468996</c:v>
                </c:pt>
                <c:pt idx="26">
                  <c:v>5.0376843822081341</c:v>
                </c:pt>
                <c:pt idx="27">
                  <c:v>5.4699262910944659</c:v>
                </c:pt>
                <c:pt idx="28">
                  <c:v>5.9088702615009829</c:v>
                </c:pt>
                <c:pt idx="29">
                  <c:v>6.3527329156717158</c:v>
                </c:pt>
                <c:pt idx="30">
                  <c:v>6.7997009772312813</c:v>
                </c:pt>
                <c:pt idx="31">
                  <c:v>7.2479389174027338</c:v>
                </c:pt>
                <c:pt idx="32">
                  <c:v>7.6955967351707173</c:v>
                </c:pt>
                <c:pt idx="33">
                  <c:v>8.1408178386128007</c:v>
                </c:pt>
                <c:pt idx="34">
                  <c:v>8.5817469940227831</c:v>
                </c:pt>
                <c:pt idx="35">
                  <c:v>9.0165383089913202</c:v>
                </c:pt>
                <c:pt idx="36">
                  <c:v>9.4433632152937559</c:v>
                </c:pt>
                <c:pt idx="37">
                  <c:v>9.8604184172649543</c:v>
                </c:pt>
                <c:pt idx="38">
                  <c:v>10.265933771317515</c:v>
                </c:pt>
                <c:pt idx="39">
                  <c:v>10.658180062383778</c:v>
                </c:pt>
                <c:pt idx="40">
                  <c:v>11.035476643333881</c:v>
                </c:pt>
                <c:pt idx="41">
                  <c:v>11.396198903841308</c:v>
                </c:pt>
                <c:pt idx="42">
                  <c:v>11.738785535732605</c:v>
                </c:pt>
                <c:pt idx="43">
                  <c:v>12.061745562568035</c:v>
                </c:pt>
                <c:pt idx="44">
                  <c:v>12.363665102051895</c:v>
                </c:pt>
                <c:pt idx="45">
                  <c:v>12.643213830862742</c:v>
                </c:pt>
                <c:pt idx="46">
                  <c:v>12.899151122620754</c:v>
                </c:pt>
                <c:pt idx="47">
                  <c:v>13.130331830968206</c:v>
                </c:pt>
                <c:pt idx="48">
                  <c:v>13.335711691124269</c:v>
                </c:pt>
                <c:pt idx="49">
                  <c:v>13.514352314782341</c:v>
                </c:pt>
                <c:pt idx="50">
                  <c:v>13.665425754840522</c:v>
                </c:pt>
                <c:pt idx="51">
                  <c:v>13.788218618187432</c:v>
                </c:pt>
                <c:pt idx="52">
                  <c:v>13.882135706599588</c:v>
                </c:pt>
                <c:pt idx="53">
                  <c:v>13.946703167735297</c:v>
                </c:pt>
              </c:numCache>
            </c:numRef>
          </c:val>
        </c:ser>
        <c:ser>
          <c:idx val="3"/>
          <c:order val="3"/>
          <c:tx>
            <c:strRef>
              <c:f>'ECONOMIC MODEL'!$I$9:$I$10</c:f>
              <c:strCache>
                <c:ptCount val="2"/>
                <c:pt idx="0">
                  <c:v>5) Red HC MARKET GROWTH</c:v>
                </c:pt>
                <c:pt idx="1">
                  <c:v>bTe/an</c:v>
                </c:pt>
              </c:strCache>
            </c:strRef>
          </c:tx>
          <c:spPr>
            <a:solidFill>
              <a:srgbClr val="FF0000">
                <a:alpha val="49000"/>
              </a:srgbClr>
            </a:solidFill>
            <a:ln w="25400">
              <a:noFill/>
            </a:ln>
          </c:spPr>
          <c:val>
            <c:numRef>
              <c:f>'ECONOMIC MODEL'!$I$15:$I$68</c:f>
              <c:numCache>
                <c:formatCode>0.00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3.9931240361110551E-2</c:v>
                </c:pt>
                <c:pt idx="8">
                  <c:v>0.11992178649468456</c:v>
                </c:pt>
                <c:pt idx="9">
                  <c:v>0.23992837548196205</c:v>
                </c:pt>
                <c:pt idx="10">
                  <c:v>0.39973574497722808</c:v>
                </c:pt>
                <c:pt idx="11">
                  <c:v>0.59895669819587449</c:v>
                </c:pt>
                <c:pt idx="12">
                  <c:v>0.83703290839300448</c:v>
                </c:pt>
                <c:pt idx="13">
                  <c:v>1.1132364630761258</c:v>
                </c:pt>
                <c:pt idx="14">
                  <c:v>1.4266721450164652</c:v>
                </c:pt>
                <c:pt idx="15">
                  <c:v>1.7762804439413158</c:v>
                </c:pt>
                <c:pt idx="16">
                  <c:v>2.160841289617653</c:v>
                </c:pt>
                <c:pt idx="17">
                  <c:v>2.5789784938897431</c:v>
                </c:pt>
                <c:pt idx="18">
                  <c:v>3.0291648861230818</c:v>
                </c:pt>
                <c:pt idx="19">
                  <c:v>3.5097281234482756</c:v>
                </c:pt>
                <c:pt idx="20">
                  <c:v>4.0188571542042348</c:v>
                </c:pt>
                <c:pt idx="21">
                  <c:v>4.5546093100637881</c:v>
                </c:pt>
                <c:pt idx="22">
                  <c:v>5.1149179994992693</c:v>
                </c:pt>
                <c:pt idx="23">
                  <c:v>5.6976009725235732</c:v>
                </c:pt>
                <c:pt idx="24">
                  <c:v>6.3003691240356483</c:v>
                </c:pt>
                <c:pt idx="25">
                  <c:v>6.9208358006203499</c:v>
                </c:pt>
                <c:pt idx="26">
                  <c:v>7.5565265733122011</c:v>
                </c:pt>
                <c:pt idx="27">
                  <c:v>8.2048894366416985</c:v>
                </c:pt>
                <c:pt idx="28">
                  <c:v>8.8633053922514726</c:v>
                </c:pt>
                <c:pt idx="29">
                  <c:v>9.5290993735075737</c:v>
                </c:pt>
                <c:pt idx="30">
                  <c:v>10.199551465846922</c:v>
                </c:pt>
                <c:pt idx="31">
                  <c:v>10.8719083761041</c:v>
                </c:pt>
                <c:pt idx="32">
                  <c:v>11.543395102756076</c:v>
                </c:pt>
                <c:pt idx="33">
                  <c:v>12.211226757919199</c:v>
                </c:pt>
                <c:pt idx="34">
                  <c:v>12.872620491034173</c:v>
                </c:pt>
                <c:pt idx="35">
                  <c:v>13.524807463486981</c:v>
                </c:pt>
                <c:pt idx="36">
                  <c:v>14.165044822940631</c:v>
                </c:pt>
                <c:pt idx="37">
                  <c:v>14.790627625897431</c:v>
                </c:pt>
                <c:pt idx="38">
                  <c:v>15.398900656976272</c:v>
                </c:pt>
                <c:pt idx="39">
                  <c:v>15.987270093575667</c:v>
                </c:pt>
                <c:pt idx="40">
                  <c:v>16.553214965000819</c:v>
                </c:pt>
                <c:pt idx="41">
                  <c:v>17.094298355761961</c:v>
                </c:pt>
                <c:pt idx="42">
                  <c:v>17.608178303598905</c:v>
                </c:pt>
                <c:pt idx="43">
                  <c:v>18.092618343852049</c:v>
                </c:pt>
                <c:pt idx="44">
                  <c:v>18.545497653077842</c:v>
                </c:pt>
                <c:pt idx="45">
                  <c:v>18.964820746294109</c:v>
                </c:pt>
                <c:pt idx="46">
                  <c:v>19.34872668393113</c:v>
                </c:pt>
                <c:pt idx="47">
                  <c:v>19.695497746452308</c:v>
                </c:pt>
                <c:pt idx="48">
                  <c:v>20.003567536686401</c:v>
                </c:pt>
                <c:pt idx="49">
                  <c:v>20.271528472173511</c:v>
                </c:pt>
                <c:pt idx="50">
                  <c:v>20.49813863226078</c:v>
                </c:pt>
                <c:pt idx="51">
                  <c:v>20.682327927281147</c:v>
                </c:pt>
                <c:pt idx="52">
                  <c:v>20.82320355989938</c:v>
                </c:pt>
                <c:pt idx="53">
                  <c:v>20.920054751602944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84904"/>
        <c:axId val="191885296"/>
      </c:areaChart>
      <c:catAx>
        <c:axId val="1918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gradFill flip="none" rotWithShape="1">
            <a:gsLst>
              <a:gs pos="0">
                <a:schemeClr val="tx2">
                  <a:lumMod val="60000"/>
                  <a:lumOff val="40000"/>
                  <a:alpha val="71000"/>
                </a:schemeClr>
              </a:gs>
              <a:gs pos="100000">
                <a:srgbClr val="FFFFFF">
                  <a:alpha val="71000"/>
                </a:srgbClr>
              </a:gs>
            </a:gsLst>
            <a:lin ang="0" scaled="1"/>
            <a:tileRect/>
          </a:gradFill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91885296"/>
        <c:crosses val="autoZero"/>
        <c:auto val="1"/>
        <c:lblAlgn val="ctr"/>
        <c:lblOffset val="100"/>
        <c:tickLblSkip val="5"/>
        <c:noMultiLvlLbl val="0"/>
      </c:catAx>
      <c:valAx>
        <c:axId val="191885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1884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826092050993601"/>
          <c:y val="0.29923790776152998"/>
          <c:w val="0.18560109673790801"/>
          <c:h val="0.5009111361079869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91198492826402E-2"/>
          <c:y val="3.9877300613496897E-2"/>
          <c:w val="0.741290372445776"/>
          <c:h val="0.85699386503067498"/>
        </c:manualLayout>
      </c:layout>
      <c:areaChart>
        <c:grouping val="stacked"/>
        <c:varyColors val="0"/>
        <c:ser>
          <c:idx val="3"/>
          <c:order val="0"/>
          <c:tx>
            <c:strRef>
              <c:f>'ECONOMIC MODEL'!$F$9:$F$10</c:f>
              <c:strCache>
                <c:ptCount val="2"/>
                <c:pt idx="0">
                  <c:v>2) Black HC MARKET (CO2 Allowed )</c:v>
                </c:pt>
                <c:pt idx="1">
                  <c:v>bTe/an</c:v>
                </c:pt>
              </c:strCache>
            </c:strRef>
          </c:tx>
          <c:spPr>
            <a:solidFill>
              <a:schemeClr val="tx1"/>
            </a:solidFill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MODEL'!$F$15:$F$68</c:f>
              <c:numCache>
                <c:formatCode>0.00</c:formatCode>
                <c:ptCount val="54"/>
                <c:pt idx="0">
                  <c:v>33.331239563789055</c:v>
                </c:pt>
                <c:pt idx="1">
                  <c:v>33.414567662698524</c:v>
                </c:pt>
                <c:pt idx="2">
                  <c:v>33.498104081855267</c:v>
                </c:pt>
                <c:pt idx="3">
                  <c:v>33.581849342059904</c:v>
                </c:pt>
                <c:pt idx="4">
                  <c:v>33.665803965415051</c:v>
                </c:pt>
                <c:pt idx="5">
                  <c:v>33.749968475328593</c:v>
                </c:pt>
                <c:pt idx="6">
                  <c:v>33.834343396516914</c:v>
                </c:pt>
                <c:pt idx="7">
                  <c:v>33.852377187739684</c:v>
                </c:pt>
                <c:pt idx="8">
                  <c:v>33.803856933987916</c:v>
                </c:pt>
                <c:pt idx="9">
                  <c:v>33.688855268787812</c:v>
                </c:pt>
                <c:pt idx="10">
                  <c:v>33.507731492698845</c:v>
                </c:pt>
                <c:pt idx="11">
                  <c:v>33.261131465003587</c:v>
                </c:pt>
                <c:pt idx="12">
                  <c:v>32.949986262913356</c:v>
                </c:pt>
                <c:pt idx="13">
                  <c:v>32.575509607883738</c:v>
                </c:pt>
                <c:pt idx="14">
                  <c:v>32.139194063932365</c:v>
                </c:pt>
                <c:pt idx="15">
                  <c:v>31.642806018155007</c:v>
                </c:pt>
                <c:pt idx="16">
                  <c:v>31.088379458922915</c:v>
                </c:pt>
                <c:pt idx="17">
                  <c:v>30.47820857249015</c:v>
                </c:pt>
                <c:pt idx="18">
                  <c:v>29.814839183923684</c:v>
                </c:pt>
                <c:pt idx="19">
                  <c:v>29.101059073367015</c:v>
                </c:pt>
                <c:pt idx="20">
                  <c:v>28.339887203638195</c:v>
                </c:pt>
                <c:pt idx="21">
                  <c:v>27.534561900023885</c:v>
                </c:pt>
                <c:pt idx="22">
                  <c:v>26.688528027840071</c:v>
                </c:pt>
                <c:pt idx="23">
                  <c:v>25.805423217867077</c:v>
                </c:pt>
                <c:pt idx="24">
                  <c:v>24.889063194110463</c:v>
                </c:pt>
                <c:pt idx="25">
                  <c:v>23.943426262471384</c:v>
                </c:pt>
                <c:pt idx="26">
                  <c:v>22.972637022810392</c:v>
                </c:pt>
                <c:pt idx="27">
                  <c:v>21.98094937054039</c:v>
                </c:pt>
                <c:pt idx="28">
                  <c:v>20.972728857269786</c:v>
                </c:pt>
                <c:pt idx="29">
                  <c:v>19.952434483120509</c:v>
                </c:pt>
                <c:pt idx="30">
                  <c:v>18.924599996152342</c:v>
                </c:pt>
                <c:pt idx="31">
                  <c:v>17.893814776821788</c:v>
                </c:pt>
                <c:pt idx="32">
                  <c:v>16.86470438757765</c:v>
                </c:pt>
                <c:pt idx="33">
                  <c:v>15.841910869536203</c:v>
                </c:pt>
                <c:pt idx="34">
                  <c:v>14.830072869676414</c:v>
                </c:pt>
                <c:pt idx="35">
                  <c:v>13.833805683141902</c:v>
                </c:pt>
                <c:pt idx="36">
                  <c:v>12.857681296024863</c:v>
                </c:pt>
                <c:pt idx="37">
                  <c:v>11.906208514432517</c:v>
                </c:pt>
                <c:pt idx="38">
                  <c:v>10.983813265695103</c:v>
                </c:pt>
                <c:pt idx="39">
                  <c:v>10.094819157264419</c:v>
                </c:pt>
                <c:pt idx="40">
                  <c:v>9.2434283781722151</c:v>
                </c:pt>
                <c:pt idx="41">
                  <c:v>8.4337030268699138</c:v>
                </c:pt>
                <c:pt idx="42">
                  <c:v>7.6695469478578504</c:v>
                </c:pt>
                <c:pt idx="43">
                  <c:v>6.9546881577372472</c:v>
                </c:pt>
                <c:pt idx="44">
                  <c:v>6.2926619391879859</c:v>
                </c:pt>
                <c:pt idx="45">
                  <c:v>5.6867946788966686</c:v>
                </c:pt>
                <c:pt idx="46">
                  <c:v>5.1401885226417674</c:v>
                </c:pt>
                <c:pt idx="47">
                  <c:v>4.655706917596115</c:v>
                </c:pt>
                <c:pt idx="48">
                  <c:v>4.2359611084435</c:v>
                </c:pt>
                <c:pt idx="49">
                  <c:v>3.8832976501389527</c:v>
                </c:pt>
                <c:pt idx="50">
                  <c:v>3.5997869960862321</c:v>
                </c:pt>
                <c:pt idx="51">
                  <c:v>3.3872132161769146</c:v>
                </c:pt>
                <c:pt idx="52">
                  <c:v>3.2470648945506446</c:v>
                </c:pt>
                <c:pt idx="53">
                  <c:v>3.1805272521139965</c:v>
                </c:pt>
              </c:numCache>
            </c:numRef>
          </c:val>
        </c:ser>
        <c:ser>
          <c:idx val="6"/>
          <c:order val="1"/>
          <c:tx>
            <c:strRef>
              <c:f>'ECONOMIC MODEL'!$H$9:$H$10</c:f>
              <c:strCache>
                <c:ptCount val="2"/>
                <c:pt idx="0">
                  <c:v>4) RENUABLES  MARKET GROWTH - </c:v>
                </c:pt>
                <c:pt idx="1">
                  <c:v>bTe/an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MODEL'!$H$15:$H$68</c:f>
              <c:numCache>
                <c:formatCode>0.00</c:formatCode>
                <c:ptCount val="54"/>
                <c:pt idx="0">
                  <c:v>0.52030200500000001</c:v>
                </c:pt>
                <c:pt idx="1">
                  <c:v>0.52550502504999996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2.6620826907407039E-2</c:v>
                </c:pt>
                <c:pt idx="8">
                  <c:v>7.9947857663123054E-2</c:v>
                </c:pt>
                <c:pt idx="9">
                  <c:v>0.15995225032130805</c:v>
                </c:pt>
                <c:pt idx="10">
                  <c:v>0.26649049665148539</c:v>
                </c:pt>
                <c:pt idx="11">
                  <c:v>0.3993044654639164</c:v>
                </c:pt>
                <c:pt idx="12">
                  <c:v>0.55802193892866969</c:v>
                </c:pt>
                <c:pt idx="13">
                  <c:v>0.74215764205075063</c:v>
                </c:pt>
                <c:pt idx="14">
                  <c:v>0.95111476334431022</c:v>
                </c:pt>
                <c:pt idx="15">
                  <c:v>1.1841869626275441</c:v>
                </c:pt>
                <c:pt idx="16">
                  <c:v>1.4405608597451023</c:v>
                </c:pt>
                <c:pt idx="17">
                  <c:v>1.7193189959264956</c:v>
                </c:pt>
                <c:pt idx="18">
                  <c:v>2.019443257415388</c:v>
                </c:pt>
                <c:pt idx="19">
                  <c:v>2.3398187489655173</c:v>
                </c:pt>
                <c:pt idx="20">
                  <c:v>2.6792381028028234</c:v>
                </c:pt>
                <c:pt idx="21">
                  <c:v>3.0364062067091924</c:v>
                </c:pt>
                <c:pt idx="22">
                  <c:v>3.4099453329995129</c:v>
                </c:pt>
                <c:pt idx="23">
                  <c:v>3.7984006483490491</c:v>
                </c:pt>
                <c:pt idx="24">
                  <c:v>4.2002460826904331</c:v>
                </c:pt>
                <c:pt idx="25">
                  <c:v>4.6138905337468996</c:v>
                </c:pt>
                <c:pt idx="26">
                  <c:v>5.0376843822081341</c:v>
                </c:pt>
                <c:pt idx="27">
                  <c:v>5.4699262910944659</c:v>
                </c:pt>
                <c:pt idx="28">
                  <c:v>5.9088702615009829</c:v>
                </c:pt>
                <c:pt idx="29">
                  <c:v>6.3527329156717158</c:v>
                </c:pt>
                <c:pt idx="30">
                  <c:v>6.7997009772312813</c:v>
                </c:pt>
                <c:pt idx="31">
                  <c:v>7.2479389174027338</c:v>
                </c:pt>
                <c:pt idx="32">
                  <c:v>7.6955967351707173</c:v>
                </c:pt>
                <c:pt idx="33">
                  <c:v>8.1408178386128007</c:v>
                </c:pt>
                <c:pt idx="34">
                  <c:v>8.5817469940227831</c:v>
                </c:pt>
                <c:pt idx="35">
                  <c:v>9.0165383089913202</c:v>
                </c:pt>
                <c:pt idx="36">
                  <c:v>9.4433632152937559</c:v>
                </c:pt>
                <c:pt idx="37">
                  <c:v>9.8604184172649543</c:v>
                </c:pt>
                <c:pt idx="38">
                  <c:v>10.265933771317515</c:v>
                </c:pt>
                <c:pt idx="39">
                  <c:v>10.658180062383778</c:v>
                </c:pt>
                <c:pt idx="40">
                  <c:v>11.035476643333881</c:v>
                </c:pt>
                <c:pt idx="41">
                  <c:v>11.396198903841308</c:v>
                </c:pt>
                <c:pt idx="42">
                  <c:v>11.738785535732605</c:v>
                </c:pt>
                <c:pt idx="43">
                  <c:v>12.061745562568035</c:v>
                </c:pt>
                <c:pt idx="44">
                  <c:v>12.363665102051895</c:v>
                </c:pt>
                <c:pt idx="45">
                  <c:v>12.643213830862742</c:v>
                </c:pt>
                <c:pt idx="46">
                  <c:v>12.899151122620754</c:v>
                </c:pt>
                <c:pt idx="47">
                  <c:v>13.130331830968206</c:v>
                </c:pt>
                <c:pt idx="48">
                  <c:v>13.335711691124269</c:v>
                </c:pt>
                <c:pt idx="49">
                  <c:v>13.514352314782341</c:v>
                </c:pt>
                <c:pt idx="50">
                  <c:v>13.665425754840522</c:v>
                </c:pt>
                <c:pt idx="51">
                  <c:v>13.788218618187432</c:v>
                </c:pt>
                <c:pt idx="52">
                  <c:v>13.882135706599588</c:v>
                </c:pt>
                <c:pt idx="53">
                  <c:v>13.946703167735297</c:v>
                </c:pt>
              </c:numCache>
            </c:numRef>
          </c:val>
        </c:ser>
        <c:ser>
          <c:idx val="7"/>
          <c:order val="2"/>
          <c:tx>
            <c:strRef>
              <c:f>'ECONOMIC MODEL'!$I$9:$I$10</c:f>
              <c:strCache>
                <c:ptCount val="2"/>
                <c:pt idx="0">
                  <c:v>5) Red HC MARKET GROWTH</c:v>
                </c:pt>
                <c:pt idx="1">
                  <c:v>bTe/an</c:v>
                </c:pt>
              </c:strCache>
            </c:strRef>
          </c:tx>
          <c:spPr>
            <a:solidFill>
              <a:srgbClr val="FF0000">
                <a:alpha val="84000"/>
              </a:srgbClr>
            </a:solidFill>
          </c:spPr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MODEL'!$I$15:$I$68</c:f>
              <c:numCache>
                <c:formatCode>0.00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3.9931240361110551E-2</c:v>
                </c:pt>
                <c:pt idx="8">
                  <c:v>0.11992178649468456</c:v>
                </c:pt>
                <c:pt idx="9">
                  <c:v>0.23992837548196205</c:v>
                </c:pt>
                <c:pt idx="10">
                  <c:v>0.39973574497722808</c:v>
                </c:pt>
                <c:pt idx="11">
                  <c:v>0.59895669819587449</c:v>
                </c:pt>
                <c:pt idx="12">
                  <c:v>0.83703290839300448</c:v>
                </c:pt>
                <c:pt idx="13">
                  <c:v>1.1132364630761258</c:v>
                </c:pt>
                <c:pt idx="14">
                  <c:v>1.4266721450164652</c:v>
                </c:pt>
                <c:pt idx="15">
                  <c:v>1.7762804439413158</c:v>
                </c:pt>
                <c:pt idx="16">
                  <c:v>2.160841289617653</c:v>
                </c:pt>
                <c:pt idx="17">
                  <c:v>2.5789784938897431</c:v>
                </c:pt>
                <c:pt idx="18">
                  <c:v>3.0291648861230818</c:v>
                </c:pt>
                <c:pt idx="19">
                  <c:v>3.5097281234482756</c:v>
                </c:pt>
                <c:pt idx="20">
                  <c:v>4.0188571542042348</c:v>
                </c:pt>
                <c:pt idx="21">
                  <c:v>4.5546093100637881</c:v>
                </c:pt>
                <c:pt idx="22">
                  <c:v>5.1149179994992693</c:v>
                </c:pt>
                <c:pt idx="23">
                  <c:v>5.6976009725235732</c:v>
                </c:pt>
                <c:pt idx="24">
                  <c:v>6.3003691240356483</c:v>
                </c:pt>
                <c:pt idx="25">
                  <c:v>6.9208358006203499</c:v>
                </c:pt>
                <c:pt idx="26">
                  <c:v>7.5565265733122011</c:v>
                </c:pt>
                <c:pt idx="27">
                  <c:v>8.2048894366416985</c:v>
                </c:pt>
                <c:pt idx="28">
                  <c:v>8.8633053922514726</c:v>
                </c:pt>
                <c:pt idx="29">
                  <c:v>9.5290993735075737</c:v>
                </c:pt>
                <c:pt idx="30">
                  <c:v>10.199551465846922</c:v>
                </c:pt>
                <c:pt idx="31">
                  <c:v>10.8719083761041</c:v>
                </c:pt>
                <c:pt idx="32">
                  <c:v>11.543395102756076</c:v>
                </c:pt>
                <c:pt idx="33">
                  <c:v>12.211226757919199</c:v>
                </c:pt>
                <c:pt idx="34">
                  <c:v>12.872620491034173</c:v>
                </c:pt>
                <c:pt idx="35">
                  <c:v>13.524807463486981</c:v>
                </c:pt>
                <c:pt idx="36">
                  <c:v>14.165044822940631</c:v>
                </c:pt>
                <c:pt idx="37">
                  <c:v>14.790627625897431</c:v>
                </c:pt>
                <c:pt idx="38">
                  <c:v>15.398900656976272</c:v>
                </c:pt>
                <c:pt idx="39">
                  <c:v>15.987270093575667</c:v>
                </c:pt>
                <c:pt idx="40">
                  <c:v>16.553214965000819</c:v>
                </c:pt>
                <c:pt idx="41">
                  <c:v>17.094298355761961</c:v>
                </c:pt>
                <c:pt idx="42">
                  <c:v>17.608178303598905</c:v>
                </c:pt>
                <c:pt idx="43">
                  <c:v>18.092618343852049</c:v>
                </c:pt>
                <c:pt idx="44">
                  <c:v>18.545497653077842</c:v>
                </c:pt>
                <c:pt idx="45">
                  <c:v>18.964820746294109</c:v>
                </c:pt>
                <c:pt idx="46">
                  <c:v>19.34872668393113</c:v>
                </c:pt>
                <c:pt idx="47">
                  <c:v>19.695497746452308</c:v>
                </c:pt>
                <c:pt idx="48">
                  <c:v>20.003567536686401</c:v>
                </c:pt>
                <c:pt idx="49">
                  <c:v>20.271528472173511</c:v>
                </c:pt>
                <c:pt idx="50">
                  <c:v>20.49813863226078</c:v>
                </c:pt>
                <c:pt idx="51">
                  <c:v>20.682327927281147</c:v>
                </c:pt>
                <c:pt idx="52">
                  <c:v>20.82320355989938</c:v>
                </c:pt>
                <c:pt idx="53">
                  <c:v>20.920054751602944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86080"/>
        <c:axId val="191886472"/>
      </c:areaChart>
      <c:dateAx>
        <c:axId val="1918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gradFill flip="none" rotWithShape="1">
            <a:gsLst>
              <a:gs pos="0">
                <a:schemeClr val="tx2">
                  <a:lumMod val="60000"/>
                  <a:lumOff val="40000"/>
                </a:schemeClr>
              </a:gs>
              <a:gs pos="100000">
                <a:srgbClr val="FFFFFF"/>
              </a:gs>
            </a:gsLst>
            <a:lin ang="0" scaled="1"/>
            <a:tileRect/>
          </a:gradFill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91886472"/>
        <c:crosses val="autoZero"/>
        <c:auto val="0"/>
        <c:lblOffset val="100"/>
        <c:baseTimeUnit val="days"/>
      </c:dateAx>
      <c:valAx>
        <c:axId val="191886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18860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506439302449097"/>
          <c:y val="0.28192113005105102"/>
          <c:w val="0.14057977875465"/>
          <c:h val="0.3841282339707540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'ECONOMIC MODEL'!$L$9:$L$10</c:f>
              <c:strCache>
                <c:ptCount val="2"/>
                <c:pt idx="0">
                  <c:v>Renewables investment</c:v>
                </c:pt>
                <c:pt idx="1">
                  <c:v> € Bn</c:v>
                </c:pt>
              </c:strCache>
            </c:strRef>
          </c:tx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MODEL'!$L$15:$L$68</c:f>
              <c:numCache>
                <c:formatCode>_-[$€-2]\ * #,##0_-;\-[$€-2]\ * #,##0_-;_-[$€-2]\ * "-"??_-;_-@_-</c:formatCode>
                <c:ptCount val="54"/>
                <c:pt idx="0">
                  <c:v>0.62436240599999415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3.1944992288888447</c:v>
                </c:pt>
                <c:pt idx="7">
                  <c:v>6.399243690685922</c:v>
                </c:pt>
                <c:pt idx="8">
                  <c:v>9.6005271189821997</c:v>
                </c:pt>
                <c:pt idx="9">
                  <c:v>12.78458955962128</c:v>
                </c:pt>
                <c:pt idx="10">
                  <c:v>15.937676257491722</c:v>
                </c:pt>
                <c:pt idx="11">
                  <c:v>19.046096815770394</c:v>
                </c:pt>
                <c:pt idx="12">
                  <c:v>22.096284374649713</c:v>
                </c:pt>
                <c:pt idx="13">
                  <c:v>25.074854555227152</c:v>
                </c:pt>
                <c:pt idx="14">
                  <c:v>27.968663913988063</c:v>
                </c:pt>
                <c:pt idx="15">
                  <c:v>30.764867654106986</c:v>
                </c:pt>
                <c:pt idx="16">
                  <c:v>33.450976341767202</c:v>
                </c:pt>
                <c:pt idx="17">
                  <c:v>36.014911378667087</c:v>
                </c:pt>
                <c:pt idx="18">
                  <c:v>38.445058986015525</c:v>
                </c:pt>
                <c:pt idx="19">
                  <c:v>40.730322460476728</c:v>
                </c:pt>
                <c:pt idx="20">
                  <c:v>42.860172468764276</c:v>
                </c:pt>
                <c:pt idx="21">
                  <c:v>44.824695154838459</c:v>
                </c:pt>
                <c:pt idx="22">
                  <c:v>46.614637841944351</c:v>
                </c:pt>
                <c:pt idx="23">
                  <c:v>48.221452120966077</c:v>
                </c:pt>
                <c:pt idx="24">
                  <c:v>49.637334126775983</c:v>
                </c:pt>
                <c:pt idx="25">
                  <c:v>50.855261815348136</c:v>
                </c:pt>
                <c:pt idx="26">
                  <c:v>51.869029066359822</c:v>
                </c:pt>
                <c:pt idx="27">
                  <c:v>52.67327644878204</c:v>
                </c:pt>
                <c:pt idx="28">
                  <c:v>53.263518500487947</c:v>
                </c:pt>
                <c:pt idx="29">
                  <c:v>53.636167387147857</c:v>
                </c:pt>
                <c:pt idx="30">
                  <c:v>53.788552820574296</c:v>
                </c:pt>
                <c:pt idx="31">
                  <c:v>53.718938132158023</c:v>
                </c:pt>
                <c:pt idx="32">
                  <c:v>53.426532413050012</c:v>
                </c:pt>
                <c:pt idx="33">
                  <c:v>52.911498649197881</c:v>
                </c:pt>
                <c:pt idx="34">
                  <c:v>52.174957796224462</c:v>
                </c:pt>
                <c:pt idx="35">
                  <c:v>51.218988756292276</c:v>
                </c:pt>
                <c:pt idx="36">
                  <c:v>50.046624236543806</c:v>
                </c:pt>
                <c:pt idx="37">
                  <c:v>48.661842486307307</c:v>
                </c:pt>
                <c:pt idx="38">
                  <c:v>47.069554927951529</c:v>
                </c:pt>
                <c:pt idx="39">
                  <c:v>45.275589714012412</c:v>
                </c:pt>
                <c:pt idx="40">
                  <c:v>43.286671260891154</c:v>
                </c:pt>
                <c:pt idx="41">
                  <c:v>41.110395826955681</c:v>
                </c:pt>
                <c:pt idx="42">
                  <c:v>38.755203220251602</c:v>
                </c:pt>
                <c:pt idx="43">
                  <c:v>36.230344738063209</c:v>
                </c:pt>
                <c:pt idx="44">
                  <c:v>33.545847457301576</c:v>
                </c:pt>
                <c:pt idx="45">
                  <c:v>30.712475010961526</c:v>
                </c:pt>
                <c:pt idx="46">
                  <c:v>27.741685001694236</c:v>
                </c:pt>
                <c:pt idx="47">
                  <c:v>24.645583218727509</c:v>
                </c:pt>
                <c:pt idx="48">
                  <c:v>21.436874838968691</c:v>
                </c:pt>
                <c:pt idx="49">
                  <c:v>18.128812806981642</c:v>
                </c:pt>
                <c:pt idx="50">
                  <c:v>14.735143601629304</c:v>
                </c:pt>
                <c:pt idx="51">
                  <c:v>11.270050609458622</c:v>
                </c:pt>
                <c:pt idx="52">
                  <c:v>7.7480953362851324</c:v>
                </c:pt>
                <c:pt idx="5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'ECONOMIC MODEL'!$M$9:$M$10</c:f>
              <c:strCache>
                <c:ptCount val="2"/>
                <c:pt idx="0">
                  <c:v>CCS investment</c:v>
                </c:pt>
                <c:pt idx="1">
                  <c:v> € Bn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</c:spPr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MODEL'!$M$15:$M$68</c:f>
              <c:numCache>
                <c:formatCode>_-[$€-2]\ * #,##0_-;\-[$€-2]\ * #,##0_-;_-[$€-2]\ * "-"??_-;_-@_-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4.7917488433332664</c:v>
                </c:pt>
                <c:pt idx="7">
                  <c:v>9.5988655360288817</c:v>
                </c:pt>
                <c:pt idx="8">
                  <c:v>14.4007906784733</c:v>
                </c:pt>
                <c:pt idx="9">
                  <c:v>19.176884339431922</c:v>
                </c:pt>
                <c:pt idx="10">
                  <c:v>23.906514386237568</c:v>
                </c:pt>
                <c:pt idx="11">
                  <c:v>28.5691452236556</c:v>
                </c:pt>
                <c:pt idx="12">
                  <c:v>33.144426561974555</c:v>
                </c:pt>
                <c:pt idx="13">
                  <c:v>37.612281832840736</c:v>
                </c:pt>
                <c:pt idx="14">
                  <c:v>41.952995870982065</c:v>
                </c:pt>
                <c:pt idx="15">
                  <c:v>46.147301481160461</c:v>
                </c:pt>
                <c:pt idx="16">
                  <c:v>50.17646451265081</c:v>
                </c:pt>
                <c:pt idx="17">
                  <c:v>54.022367068000641</c:v>
                </c:pt>
                <c:pt idx="18">
                  <c:v>57.667588479023252</c:v>
                </c:pt>
                <c:pt idx="19">
                  <c:v>61.095483690715113</c:v>
                </c:pt>
                <c:pt idx="20">
                  <c:v>64.290258703146392</c:v>
                </c:pt>
                <c:pt idx="21">
                  <c:v>67.237042732257748</c:v>
                </c:pt>
                <c:pt idx="22">
                  <c:v>69.921956762916466</c:v>
                </c:pt>
                <c:pt idx="23">
                  <c:v>72.332178181449009</c:v>
                </c:pt>
                <c:pt idx="24">
                  <c:v>74.456001190164187</c:v>
                </c:pt>
                <c:pt idx="25">
                  <c:v>76.282892723022144</c:v>
                </c:pt>
                <c:pt idx="26">
                  <c:v>77.80354359953968</c:v>
                </c:pt>
                <c:pt idx="27">
                  <c:v>79.009914673172901</c:v>
                </c:pt>
                <c:pt idx="28">
                  <c:v>79.895277750732134</c:v>
                </c:pt>
                <c:pt idx="29">
                  <c:v>80.454251080721733</c:v>
                </c:pt>
                <c:pt idx="30">
                  <c:v>80.682829230861444</c:v>
                </c:pt>
                <c:pt idx="31">
                  <c:v>80.578407198237088</c:v>
                </c:pt>
                <c:pt idx="32">
                  <c:v>80.139798619574805</c:v>
                </c:pt>
                <c:pt idx="33">
                  <c:v>79.367247973796822</c:v>
                </c:pt>
                <c:pt idx="34">
                  <c:v>78.262436694337012</c:v>
                </c:pt>
                <c:pt idx="35">
                  <c:v>76.828483134437988</c:v>
                </c:pt>
                <c:pt idx="36">
                  <c:v>75.069936354815923</c:v>
                </c:pt>
                <c:pt idx="37">
                  <c:v>72.992763729460961</c:v>
                </c:pt>
                <c:pt idx="38">
                  <c:v>70.6043323919274</c:v>
                </c:pt>
                <c:pt idx="39">
                  <c:v>67.913384571018298</c:v>
                </c:pt>
                <c:pt idx="40">
                  <c:v>64.930006891336944</c:v>
                </c:pt>
                <c:pt idx="41">
                  <c:v>61.665593740433309</c:v>
                </c:pt>
                <c:pt idx="42">
                  <c:v>58.132804830377296</c:v>
                </c:pt>
                <c:pt idx="43">
                  <c:v>54.345517107095134</c:v>
                </c:pt>
                <c:pt idx="44">
                  <c:v>50.318771185952045</c:v>
                </c:pt>
                <c:pt idx="45">
                  <c:v>46.068712516442503</c:v>
                </c:pt>
                <c:pt idx="46">
                  <c:v>41.612527502541354</c:v>
                </c:pt>
                <c:pt idx="47">
                  <c:v>36.968374828091157</c:v>
                </c:pt>
                <c:pt idx="48">
                  <c:v>32.15531225845325</c:v>
                </c:pt>
                <c:pt idx="49">
                  <c:v>27.19321921047225</c:v>
                </c:pt>
                <c:pt idx="50">
                  <c:v>22.102715402444062</c:v>
                </c:pt>
                <c:pt idx="51">
                  <c:v>16.905075914187933</c:v>
                </c:pt>
                <c:pt idx="52">
                  <c:v>11.622143004427699</c:v>
                </c:pt>
                <c:pt idx="5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87256"/>
        <c:axId val="191887648"/>
      </c:areaChart>
      <c:catAx>
        <c:axId val="1918872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91887648"/>
        <c:crosses val="autoZero"/>
        <c:auto val="1"/>
        <c:lblAlgn val="ctr"/>
        <c:lblOffset val="100"/>
        <c:tickLblSkip val="5"/>
        <c:noMultiLvlLbl val="0"/>
      </c:catAx>
      <c:valAx>
        <c:axId val="191887648"/>
        <c:scaling>
          <c:orientation val="minMax"/>
        </c:scaling>
        <c:delete val="0"/>
        <c:axPos val="l"/>
        <c:majorGridlines/>
        <c:numFmt formatCode="_-[$€-2]\ * #,##0_-;\-[$€-2]\ * #,##0_-;_-[$€-2]\ 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91887256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'ECONOMIC MODEL'!$C$9</c:f>
              <c:strCache>
                <c:ptCount val="1"/>
                <c:pt idx="0">
                  <c:v>1) Co2 Emission Potential 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'ECONOMIC MODEL'!$A$11:$A$68</c:f>
              <c:numCache>
                <c:formatCode>General</c:formatCode>
                <c:ptCount val="5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</c:numCache>
            </c:numRef>
          </c:cat>
          <c:val>
            <c:numRef>
              <c:f>'ECONOMIC MODEL'!$C$11:$C$68</c:f>
              <c:numCache>
                <c:formatCode>0.00</c:formatCode>
                <c:ptCount val="58"/>
                <c:pt idx="0">
                  <c:v>33</c:v>
                </c:pt>
                <c:pt idx="1">
                  <c:v>33.082499999999996</c:v>
                </c:pt>
                <c:pt idx="2">
                  <c:v>33.165206249999997</c:v>
                </c:pt>
                <c:pt idx="3">
                  <c:v>33.248119265624993</c:v>
                </c:pt>
                <c:pt idx="4">
                  <c:v>33.331239563789055</c:v>
                </c:pt>
                <c:pt idx="5">
                  <c:v>33.414567662698524</c:v>
                </c:pt>
                <c:pt idx="6">
                  <c:v>33.498104081855267</c:v>
                </c:pt>
                <c:pt idx="7">
                  <c:v>33.581849342059904</c:v>
                </c:pt>
                <c:pt idx="8">
                  <c:v>33.665803965415051</c:v>
                </c:pt>
                <c:pt idx="9">
                  <c:v>33.749968475328593</c:v>
                </c:pt>
                <c:pt idx="10">
                  <c:v>33.834343396516914</c:v>
                </c:pt>
                <c:pt idx="11">
                  <c:v>33.918929255008202</c:v>
                </c:pt>
                <c:pt idx="12">
                  <c:v>34.003726578145724</c:v>
                </c:pt>
                <c:pt idx="13">
                  <c:v>34.088735894591082</c:v>
                </c:pt>
                <c:pt idx="14">
                  <c:v>34.173957734327558</c:v>
                </c:pt>
                <c:pt idx="15">
                  <c:v>34.259392628663377</c:v>
                </c:pt>
                <c:pt idx="16">
                  <c:v>34.34504111023503</c:v>
                </c:pt>
                <c:pt idx="17">
                  <c:v>34.430903713010615</c:v>
                </c:pt>
                <c:pt idx="18">
                  <c:v>34.51698097229314</c:v>
                </c:pt>
                <c:pt idx="19">
                  <c:v>34.603273424723866</c:v>
                </c:pt>
                <c:pt idx="20">
                  <c:v>34.689781608285671</c:v>
                </c:pt>
                <c:pt idx="21">
                  <c:v>34.776506062306389</c:v>
                </c:pt>
                <c:pt idx="22">
                  <c:v>34.863447327462154</c:v>
                </c:pt>
                <c:pt idx="23">
                  <c:v>34.950605945780808</c:v>
                </c:pt>
                <c:pt idx="24">
                  <c:v>35.037982460645253</c:v>
                </c:pt>
                <c:pt idx="25">
                  <c:v>35.125577416796865</c:v>
                </c:pt>
                <c:pt idx="26">
                  <c:v>35.213391360338854</c:v>
                </c:pt>
                <c:pt idx="27">
                  <c:v>35.301424838739699</c:v>
                </c:pt>
                <c:pt idx="28">
                  <c:v>35.389678400836544</c:v>
                </c:pt>
                <c:pt idx="29">
                  <c:v>35.478152596838633</c:v>
                </c:pt>
                <c:pt idx="30">
                  <c:v>35.566847978330728</c:v>
                </c:pt>
                <c:pt idx="31">
                  <c:v>35.655765098276554</c:v>
                </c:pt>
                <c:pt idx="32">
                  <c:v>35.744904511022241</c:v>
                </c:pt>
                <c:pt idx="33">
                  <c:v>35.834266772299799</c:v>
                </c:pt>
                <c:pt idx="34">
                  <c:v>35.923852439230544</c:v>
                </c:pt>
                <c:pt idx="35">
                  <c:v>36.013662070328621</c:v>
                </c:pt>
                <c:pt idx="36">
                  <c:v>36.103696225504443</c:v>
                </c:pt>
                <c:pt idx="37">
                  <c:v>36.193955466068203</c:v>
                </c:pt>
                <c:pt idx="38">
                  <c:v>36.28444035473337</c:v>
                </c:pt>
                <c:pt idx="39">
                  <c:v>36.375151455620205</c:v>
                </c:pt>
                <c:pt idx="40">
                  <c:v>36.466089334259252</c:v>
                </c:pt>
                <c:pt idx="41">
                  <c:v>36.557254557594902</c:v>
                </c:pt>
                <c:pt idx="42">
                  <c:v>36.648647693988892</c:v>
                </c:pt>
                <c:pt idx="43">
                  <c:v>36.740269313223862</c:v>
                </c:pt>
                <c:pt idx="44">
                  <c:v>36.832119986506918</c:v>
                </c:pt>
                <c:pt idx="45">
                  <c:v>36.92420028647318</c:v>
                </c:pt>
                <c:pt idx="46">
                  <c:v>37.016510787189361</c:v>
                </c:pt>
                <c:pt idx="47">
                  <c:v>37.109052064157332</c:v>
                </c:pt>
                <c:pt idx="48">
                  <c:v>37.201824694317722</c:v>
                </c:pt>
                <c:pt idx="49">
                  <c:v>37.294829256053518</c:v>
                </c:pt>
                <c:pt idx="50">
                  <c:v>37.388066329193649</c:v>
                </c:pt>
                <c:pt idx="51">
                  <c:v>37.481536495016627</c:v>
                </c:pt>
                <c:pt idx="52">
                  <c:v>37.575240336254168</c:v>
                </c:pt>
                <c:pt idx="53">
                  <c:v>37.6691784370948</c:v>
                </c:pt>
                <c:pt idx="54">
                  <c:v>37.763351383187533</c:v>
                </c:pt>
                <c:pt idx="55">
                  <c:v>37.857759761645497</c:v>
                </c:pt>
                <c:pt idx="56">
                  <c:v>37.952404161049614</c:v>
                </c:pt>
                <c:pt idx="57">
                  <c:v>38.047285171452238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'ECONOMIC MODEL'!$F$9</c:f>
              <c:strCache>
                <c:ptCount val="1"/>
                <c:pt idx="0">
                  <c:v>2) Black HC MARKET (CO2 Allowed 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'ECONOMIC MODEL'!$A$11:$A$68</c:f>
              <c:numCache>
                <c:formatCode>General</c:formatCode>
                <c:ptCount val="5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</c:numCache>
            </c:numRef>
          </c:cat>
          <c:val>
            <c:numRef>
              <c:f>'ECONOMIC MODEL'!$F$11:$F$68</c:f>
              <c:numCache>
                <c:formatCode>0.00</c:formatCode>
                <c:ptCount val="58"/>
                <c:pt idx="0">
                  <c:v>33</c:v>
                </c:pt>
                <c:pt idx="1">
                  <c:v>33.082499999999996</c:v>
                </c:pt>
                <c:pt idx="2">
                  <c:v>33.165206249999997</c:v>
                </c:pt>
                <c:pt idx="3">
                  <c:v>33.248119265624993</c:v>
                </c:pt>
                <c:pt idx="4">
                  <c:v>33.331239563789055</c:v>
                </c:pt>
                <c:pt idx="5">
                  <c:v>33.414567662698524</c:v>
                </c:pt>
                <c:pt idx="6">
                  <c:v>33.498104081855267</c:v>
                </c:pt>
                <c:pt idx="7">
                  <c:v>33.581849342059904</c:v>
                </c:pt>
                <c:pt idx="8">
                  <c:v>33.665803965415051</c:v>
                </c:pt>
                <c:pt idx="9">
                  <c:v>33.749968475328593</c:v>
                </c:pt>
                <c:pt idx="10">
                  <c:v>33.834343396516914</c:v>
                </c:pt>
                <c:pt idx="11">
                  <c:v>33.852377187739684</c:v>
                </c:pt>
                <c:pt idx="12">
                  <c:v>33.803856933987916</c:v>
                </c:pt>
                <c:pt idx="13">
                  <c:v>33.688855268787812</c:v>
                </c:pt>
                <c:pt idx="14">
                  <c:v>33.507731492698845</c:v>
                </c:pt>
                <c:pt idx="15">
                  <c:v>33.261131465003587</c:v>
                </c:pt>
                <c:pt idx="16">
                  <c:v>32.949986262913356</c:v>
                </c:pt>
                <c:pt idx="17">
                  <c:v>32.575509607883738</c:v>
                </c:pt>
                <c:pt idx="18">
                  <c:v>32.139194063932365</c:v>
                </c:pt>
                <c:pt idx="19">
                  <c:v>31.642806018155007</c:v>
                </c:pt>
                <c:pt idx="20">
                  <c:v>31.088379458922915</c:v>
                </c:pt>
                <c:pt idx="21">
                  <c:v>30.47820857249015</c:v>
                </c:pt>
                <c:pt idx="22">
                  <c:v>29.814839183923684</c:v>
                </c:pt>
                <c:pt idx="23">
                  <c:v>29.101059073367015</c:v>
                </c:pt>
                <c:pt idx="24">
                  <c:v>28.339887203638195</c:v>
                </c:pt>
                <c:pt idx="25">
                  <c:v>27.534561900023885</c:v>
                </c:pt>
                <c:pt idx="26">
                  <c:v>26.688528027840071</c:v>
                </c:pt>
                <c:pt idx="27">
                  <c:v>25.805423217867077</c:v>
                </c:pt>
                <c:pt idx="28">
                  <c:v>24.889063194110463</c:v>
                </c:pt>
                <c:pt idx="29">
                  <c:v>23.943426262471384</c:v>
                </c:pt>
                <c:pt idx="30">
                  <c:v>22.972637022810392</c:v>
                </c:pt>
                <c:pt idx="31">
                  <c:v>21.98094937054039</c:v>
                </c:pt>
                <c:pt idx="32">
                  <c:v>20.972728857269786</c:v>
                </c:pt>
                <c:pt idx="33">
                  <c:v>19.952434483120509</c:v>
                </c:pt>
                <c:pt idx="34">
                  <c:v>18.924599996152342</c:v>
                </c:pt>
                <c:pt idx="35">
                  <c:v>17.893814776821788</c:v>
                </c:pt>
                <c:pt idx="36">
                  <c:v>16.86470438757765</c:v>
                </c:pt>
                <c:pt idx="37">
                  <c:v>15.841910869536203</c:v>
                </c:pt>
                <c:pt idx="38">
                  <c:v>14.830072869676414</c:v>
                </c:pt>
                <c:pt idx="39">
                  <c:v>13.833805683141902</c:v>
                </c:pt>
                <c:pt idx="40">
                  <c:v>12.857681296024863</c:v>
                </c:pt>
                <c:pt idx="41">
                  <c:v>11.906208514432517</c:v>
                </c:pt>
                <c:pt idx="42">
                  <c:v>10.983813265695103</c:v>
                </c:pt>
                <c:pt idx="43">
                  <c:v>10.094819157264419</c:v>
                </c:pt>
                <c:pt idx="44">
                  <c:v>9.2434283781722151</c:v>
                </c:pt>
                <c:pt idx="45">
                  <c:v>8.4337030268699138</c:v>
                </c:pt>
                <c:pt idx="46">
                  <c:v>7.6695469478578504</c:v>
                </c:pt>
                <c:pt idx="47">
                  <c:v>6.9546881577372472</c:v>
                </c:pt>
                <c:pt idx="48">
                  <c:v>6.2926619391879859</c:v>
                </c:pt>
                <c:pt idx="49">
                  <c:v>5.6867946788966686</c:v>
                </c:pt>
                <c:pt idx="50">
                  <c:v>5.1401885226417674</c:v>
                </c:pt>
                <c:pt idx="51">
                  <c:v>4.655706917596115</c:v>
                </c:pt>
                <c:pt idx="52">
                  <c:v>4.2359611084435</c:v>
                </c:pt>
                <c:pt idx="53">
                  <c:v>3.8832976501389527</c:v>
                </c:pt>
                <c:pt idx="54">
                  <c:v>3.5997869960862321</c:v>
                </c:pt>
                <c:pt idx="55">
                  <c:v>3.3872132161769146</c:v>
                </c:pt>
                <c:pt idx="56">
                  <c:v>3.2470648945506446</c:v>
                </c:pt>
                <c:pt idx="57">
                  <c:v>3.1805272521139965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'ECONOMIC MODEL'!$G$9</c:f>
              <c:strCache>
                <c:ptCount val="1"/>
                <c:pt idx="0">
                  <c:v>3)  O/all NEW Cfree MARKET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'ECONOMIC MODEL'!$A$11:$A$68</c:f>
              <c:numCache>
                <c:formatCode>General</c:formatCode>
                <c:ptCount val="5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</c:numCache>
            </c:numRef>
          </c:cat>
          <c:val>
            <c:numRef>
              <c:f>'ECONOMIC MODEL'!$G$11:$G$68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6.655206726851759E-2</c:v>
                </c:pt>
                <c:pt idx="12">
                  <c:v>0.19986964415780761</c:v>
                </c:pt>
                <c:pt idx="13">
                  <c:v>0.39988062580327011</c:v>
                </c:pt>
                <c:pt idx="14">
                  <c:v>0.66622624162871347</c:v>
                </c:pt>
                <c:pt idx="15">
                  <c:v>0.9982611636597909</c:v>
                </c:pt>
                <c:pt idx="16">
                  <c:v>1.3950548473216742</c:v>
                </c:pt>
                <c:pt idx="17">
                  <c:v>1.8553941051268765</c:v>
                </c:pt>
                <c:pt idx="18">
                  <c:v>2.3777869083607754</c:v>
                </c:pt>
                <c:pt idx="19">
                  <c:v>2.9604674065688599</c:v>
                </c:pt>
                <c:pt idx="20">
                  <c:v>3.6014021493627553</c:v>
                </c:pt>
                <c:pt idx="21">
                  <c:v>4.2982974898162389</c:v>
                </c:pt>
                <c:pt idx="22">
                  <c:v>5.0486081435384698</c:v>
                </c:pt>
                <c:pt idx="23">
                  <c:v>5.8495468724137929</c:v>
                </c:pt>
                <c:pt idx="24">
                  <c:v>6.6980952570070578</c:v>
                </c:pt>
                <c:pt idx="25">
                  <c:v>7.5910155167729805</c:v>
                </c:pt>
                <c:pt idx="26">
                  <c:v>8.5248633324987821</c:v>
                </c:pt>
                <c:pt idx="27">
                  <c:v>9.4960016208726223</c:v>
                </c:pt>
                <c:pt idx="28">
                  <c:v>10.500615206726081</c:v>
                </c:pt>
                <c:pt idx="29">
                  <c:v>11.534726334367249</c:v>
                </c:pt>
                <c:pt idx="30">
                  <c:v>12.594210955520335</c:v>
                </c:pt>
                <c:pt idx="31">
                  <c:v>13.674815727736163</c:v>
                </c:pt>
                <c:pt idx="32">
                  <c:v>14.772175653752456</c:v>
                </c:pt>
                <c:pt idx="33">
                  <c:v>15.88183228917929</c:v>
                </c:pt>
                <c:pt idx="34">
                  <c:v>16.999252443078202</c:v>
                </c:pt>
                <c:pt idx="35">
                  <c:v>18.119847293506833</c:v>
                </c:pt>
                <c:pt idx="36">
                  <c:v>19.238991837926793</c:v>
                </c:pt>
                <c:pt idx="37">
                  <c:v>20.352044596532</c:v>
                </c:pt>
                <c:pt idx="38">
                  <c:v>21.454367485056956</c:v>
                </c:pt>
                <c:pt idx="39">
                  <c:v>22.541345772478302</c:v>
                </c:pt>
                <c:pt idx="40">
                  <c:v>23.608408038234387</c:v>
                </c:pt>
                <c:pt idx="41">
                  <c:v>24.651046043162385</c:v>
                </c:pt>
                <c:pt idx="42">
                  <c:v>25.664834428293787</c:v>
                </c:pt>
                <c:pt idx="43">
                  <c:v>26.645450155959445</c:v>
                </c:pt>
                <c:pt idx="44">
                  <c:v>27.588691608334702</c:v>
                </c:pt>
                <c:pt idx="45">
                  <c:v>28.490497259603266</c:v>
                </c:pt>
                <c:pt idx="46">
                  <c:v>29.346963839331512</c:v>
                </c:pt>
                <c:pt idx="47">
                  <c:v>30.154363906420084</c:v>
                </c:pt>
                <c:pt idx="48">
                  <c:v>30.909162755129735</c:v>
                </c:pt>
                <c:pt idx="49">
                  <c:v>31.60803457715685</c:v>
                </c:pt>
                <c:pt idx="50">
                  <c:v>32.247877806551884</c:v>
                </c:pt>
                <c:pt idx="51">
                  <c:v>32.825829577420514</c:v>
                </c:pt>
                <c:pt idx="52">
                  <c:v>33.339279227810671</c:v>
                </c:pt>
                <c:pt idx="53">
                  <c:v>33.78588078695585</c:v>
                </c:pt>
                <c:pt idx="54">
                  <c:v>34.163564387101303</c:v>
                </c:pt>
                <c:pt idx="55">
                  <c:v>34.470546545468579</c:v>
                </c:pt>
                <c:pt idx="56">
                  <c:v>34.705339266498967</c:v>
                </c:pt>
                <c:pt idx="57">
                  <c:v>34.866757919338241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370432"/>
        <c:axId val="349370824"/>
      </c:lineChart>
      <c:catAx>
        <c:axId val="3493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9370824"/>
        <c:crosses val="autoZero"/>
        <c:auto val="1"/>
        <c:lblAlgn val="ctr"/>
        <c:lblOffset val="100"/>
        <c:noMultiLvlLbl val="0"/>
      </c:catAx>
      <c:valAx>
        <c:axId val="349370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937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91198492826402E-2"/>
          <c:y val="3.9877300613496897E-2"/>
          <c:w val="0.741290372445776"/>
          <c:h val="0.85699386503067498"/>
        </c:manualLayout>
      </c:layout>
      <c:areaChart>
        <c:grouping val="stacked"/>
        <c:varyColors val="0"/>
        <c:ser>
          <c:idx val="3"/>
          <c:order val="0"/>
          <c:tx>
            <c:strRef>
              <c:f>'ECONOMIC MODEL'!$F$9:$F$10</c:f>
              <c:strCache>
                <c:ptCount val="2"/>
                <c:pt idx="0">
                  <c:v>2) Black HC MARKET (CO2 Allowed )</c:v>
                </c:pt>
                <c:pt idx="1">
                  <c:v>bTe/an</c:v>
                </c:pt>
              </c:strCache>
            </c:strRef>
          </c:tx>
          <c:spPr>
            <a:solidFill>
              <a:schemeClr val="tx1"/>
            </a:solidFill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MODEL'!$F$15:$F$68</c:f>
              <c:numCache>
                <c:formatCode>0.00</c:formatCode>
                <c:ptCount val="54"/>
                <c:pt idx="0">
                  <c:v>33.331239563789055</c:v>
                </c:pt>
                <c:pt idx="1">
                  <c:v>33.414567662698524</c:v>
                </c:pt>
                <c:pt idx="2">
                  <c:v>33.498104081855267</c:v>
                </c:pt>
                <c:pt idx="3">
                  <c:v>33.581849342059904</c:v>
                </c:pt>
                <c:pt idx="4">
                  <c:v>33.665803965415051</c:v>
                </c:pt>
                <c:pt idx="5">
                  <c:v>33.749968475328593</c:v>
                </c:pt>
                <c:pt idx="6">
                  <c:v>33.834343396516914</c:v>
                </c:pt>
                <c:pt idx="7">
                  <c:v>33.852377187739684</c:v>
                </c:pt>
                <c:pt idx="8">
                  <c:v>33.803856933987916</c:v>
                </c:pt>
                <c:pt idx="9">
                  <c:v>33.688855268787812</c:v>
                </c:pt>
                <c:pt idx="10">
                  <c:v>33.507731492698845</c:v>
                </c:pt>
                <c:pt idx="11">
                  <c:v>33.261131465003587</c:v>
                </c:pt>
                <c:pt idx="12">
                  <c:v>32.949986262913356</c:v>
                </c:pt>
                <c:pt idx="13">
                  <c:v>32.575509607883738</c:v>
                </c:pt>
                <c:pt idx="14">
                  <c:v>32.139194063932365</c:v>
                </c:pt>
                <c:pt idx="15">
                  <c:v>31.642806018155007</c:v>
                </c:pt>
                <c:pt idx="16">
                  <c:v>31.088379458922915</c:v>
                </c:pt>
                <c:pt idx="17">
                  <c:v>30.47820857249015</c:v>
                </c:pt>
                <c:pt idx="18">
                  <c:v>29.814839183923684</c:v>
                </c:pt>
                <c:pt idx="19">
                  <c:v>29.101059073367015</c:v>
                </c:pt>
                <c:pt idx="20">
                  <c:v>28.339887203638195</c:v>
                </c:pt>
                <c:pt idx="21">
                  <c:v>27.534561900023885</c:v>
                </c:pt>
                <c:pt idx="22">
                  <c:v>26.688528027840071</c:v>
                </c:pt>
                <c:pt idx="23">
                  <c:v>25.805423217867077</c:v>
                </c:pt>
                <c:pt idx="24">
                  <c:v>24.889063194110463</c:v>
                </c:pt>
                <c:pt idx="25">
                  <c:v>23.943426262471384</c:v>
                </c:pt>
                <c:pt idx="26">
                  <c:v>22.972637022810392</c:v>
                </c:pt>
                <c:pt idx="27">
                  <c:v>21.98094937054039</c:v>
                </c:pt>
                <c:pt idx="28">
                  <c:v>20.972728857269786</c:v>
                </c:pt>
                <c:pt idx="29">
                  <c:v>19.952434483120509</c:v>
                </c:pt>
                <c:pt idx="30">
                  <c:v>18.924599996152342</c:v>
                </c:pt>
                <c:pt idx="31">
                  <c:v>17.893814776821788</c:v>
                </c:pt>
                <c:pt idx="32">
                  <c:v>16.86470438757765</c:v>
                </c:pt>
                <c:pt idx="33">
                  <c:v>15.841910869536203</c:v>
                </c:pt>
                <c:pt idx="34">
                  <c:v>14.830072869676414</c:v>
                </c:pt>
                <c:pt idx="35">
                  <c:v>13.833805683141902</c:v>
                </c:pt>
                <c:pt idx="36">
                  <c:v>12.857681296024863</c:v>
                </c:pt>
                <c:pt idx="37">
                  <c:v>11.906208514432517</c:v>
                </c:pt>
                <c:pt idx="38">
                  <c:v>10.983813265695103</c:v>
                </c:pt>
                <c:pt idx="39">
                  <c:v>10.094819157264419</c:v>
                </c:pt>
                <c:pt idx="40">
                  <c:v>9.2434283781722151</c:v>
                </c:pt>
                <c:pt idx="41">
                  <c:v>8.4337030268699138</c:v>
                </c:pt>
                <c:pt idx="42">
                  <c:v>7.6695469478578504</c:v>
                </c:pt>
                <c:pt idx="43">
                  <c:v>6.9546881577372472</c:v>
                </c:pt>
                <c:pt idx="44">
                  <c:v>6.2926619391879859</c:v>
                </c:pt>
                <c:pt idx="45">
                  <c:v>5.6867946788966686</c:v>
                </c:pt>
                <c:pt idx="46">
                  <c:v>5.1401885226417674</c:v>
                </c:pt>
                <c:pt idx="47">
                  <c:v>4.655706917596115</c:v>
                </c:pt>
                <c:pt idx="48">
                  <c:v>4.2359611084435</c:v>
                </c:pt>
                <c:pt idx="49">
                  <c:v>3.8832976501389527</c:v>
                </c:pt>
                <c:pt idx="50">
                  <c:v>3.5997869960862321</c:v>
                </c:pt>
                <c:pt idx="51">
                  <c:v>3.3872132161769146</c:v>
                </c:pt>
                <c:pt idx="52">
                  <c:v>3.2470648945506446</c:v>
                </c:pt>
                <c:pt idx="53">
                  <c:v>3.1805272521139965</c:v>
                </c:pt>
              </c:numCache>
            </c:numRef>
          </c:val>
        </c:ser>
        <c:ser>
          <c:idx val="6"/>
          <c:order val="1"/>
          <c:tx>
            <c:strRef>
              <c:f>'ECONOMIC MODEL'!$H$9:$H$10</c:f>
              <c:strCache>
                <c:ptCount val="2"/>
                <c:pt idx="0">
                  <c:v>4) RENUABLES  MARKET GROWTH - </c:v>
                </c:pt>
                <c:pt idx="1">
                  <c:v>bTe/an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MODEL'!$H$15:$H$68</c:f>
              <c:numCache>
                <c:formatCode>0.00</c:formatCode>
                <c:ptCount val="54"/>
                <c:pt idx="0">
                  <c:v>0.52030200500000001</c:v>
                </c:pt>
                <c:pt idx="1">
                  <c:v>0.52550502504999996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2.6620826907407039E-2</c:v>
                </c:pt>
                <c:pt idx="8">
                  <c:v>7.9947857663123054E-2</c:v>
                </c:pt>
                <c:pt idx="9">
                  <c:v>0.15995225032130805</c:v>
                </c:pt>
                <c:pt idx="10">
                  <c:v>0.26649049665148539</c:v>
                </c:pt>
                <c:pt idx="11">
                  <c:v>0.3993044654639164</c:v>
                </c:pt>
                <c:pt idx="12">
                  <c:v>0.55802193892866969</c:v>
                </c:pt>
                <c:pt idx="13">
                  <c:v>0.74215764205075063</c:v>
                </c:pt>
                <c:pt idx="14">
                  <c:v>0.95111476334431022</c:v>
                </c:pt>
                <c:pt idx="15">
                  <c:v>1.1841869626275441</c:v>
                </c:pt>
                <c:pt idx="16">
                  <c:v>1.4405608597451023</c:v>
                </c:pt>
                <c:pt idx="17">
                  <c:v>1.7193189959264956</c:v>
                </c:pt>
                <c:pt idx="18">
                  <c:v>2.019443257415388</c:v>
                </c:pt>
                <c:pt idx="19">
                  <c:v>2.3398187489655173</c:v>
                </c:pt>
                <c:pt idx="20">
                  <c:v>2.6792381028028234</c:v>
                </c:pt>
                <c:pt idx="21">
                  <c:v>3.0364062067091924</c:v>
                </c:pt>
                <c:pt idx="22">
                  <c:v>3.4099453329995129</c:v>
                </c:pt>
                <c:pt idx="23">
                  <c:v>3.7984006483490491</c:v>
                </c:pt>
                <c:pt idx="24">
                  <c:v>4.2002460826904331</c:v>
                </c:pt>
                <c:pt idx="25">
                  <c:v>4.6138905337468996</c:v>
                </c:pt>
                <c:pt idx="26">
                  <c:v>5.0376843822081341</c:v>
                </c:pt>
                <c:pt idx="27">
                  <c:v>5.4699262910944659</c:v>
                </c:pt>
                <c:pt idx="28">
                  <c:v>5.9088702615009829</c:v>
                </c:pt>
                <c:pt idx="29">
                  <c:v>6.3527329156717158</c:v>
                </c:pt>
                <c:pt idx="30">
                  <c:v>6.7997009772312813</c:v>
                </c:pt>
                <c:pt idx="31">
                  <c:v>7.2479389174027338</c:v>
                </c:pt>
                <c:pt idx="32">
                  <c:v>7.6955967351707173</c:v>
                </c:pt>
                <c:pt idx="33">
                  <c:v>8.1408178386128007</c:v>
                </c:pt>
                <c:pt idx="34">
                  <c:v>8.5817469940227831</c:v>
                </c:pt>
                <c:pt idx="35">
                  <c:v>9.0165383089913202</c:v>
                </c:pt>
                <c:pt idx="36">
                  <c:v>9.4433632152937559</c:v>
                </c:pt>
                <c:pt idx="37">
                  <c:v>9.8604184172649543</c:v>
                </c:pt>
                <c:pt idx="38">
                  <c:v>10.265933771317515</c:v>
                </c:pt>
                <c:pt idx="39">
                  <c:v>10.658180062383778</c:v>
                </c:pt>
                <c:pt idx="40">
                  <c:v>11.035476643333881</c:v>
                </c:pt>
                <c:pt idx="41">
                  <c:v>11.396198903841308</c:v>
                </c:pt>
                <c:pt idx="42">
                  <c:v>11.738785535732605</c:v>
                </c:pt>
                <c:pt idx="43">
                  <c:v>12.061745562568035</c:v>
                </c:pt>
                <c:pt idx="44">
                  <c:v>12.363665102051895</c:v>
                </c:pt>
                <c:pt idx="45">
                  <c:v>12.643213830862742</c:v>
                </c:pt>
                <c:pt idx="46">
                  <c:v>12.899151122620754</c:v>
                </c:pt>
                <c:pt idx="47">
                  <c:v>13.130331830968206</c:v>
                </c:pt>
                <c:pt idx="48">
                  <c:v>13.335711691124269</c:v>
                </c:pt>
                <c:pt idx="49">
                  <c:v>13.514352314782341</c:v>
                </c:pt>
                <c:pt idx="50">
                  <c:v>13.665425754840522</c:v>
                </c:pt>
                <c:pt idx="51">
                  <c:v>13.788218618187432</c:v>
                </c:pt>
                <c:pt idx="52">
                  <c:v>13.882135706599588</c:v>
                </c:pt>
                <c:pt idx="53">
                  <c:v>13.946703167735297</c:v>
                </c:pt>
              </c:numCache>
            </c:numRef>
          </c:val>
        </c:ser>
        <c:ser>
          <c:idx val="7"/>
          <c:order val="2"/>
          <c:tx>
            <c:strRef>
              <c:f>'ECONOMIC MODEL'!$I$9:$I$10</c:f>
              <c:strCache>
                <c:ptCount val="2"/>
                <c:pt idx="0">
                  <c:v>5) Red HC MARKET GROWTH</c:v>
                </c:pt>
                <c:pt idx="1">
                  <c:v>bTe/an</c:v>
                </c:pt>
              </c:strCache>
            </c:strRef>
          </c:tx>
          <c:spPr>
            <a:solidFill>
              <a:srgbClr val="FF0000">
                <a:alpha val="84000"/>
              </a:srgbClr>
            </a:solidFill>
          </c:spPr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MODEL'!$I$15:$I$68</c:f>
              <c:numCache>
                <c:formatCode>0.00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3.9931240361110551E-2</c:v>
                </c:pt>
                <c:pt idx="8">
                  <c:v>0.11992178649468456</c:v>
                </c:pt>
                <c:pt idx="9">
                  <c:v>0.23992837548196205</c:v>
                </c:pt>
                <c:pt idx="10">
                  <c:v>0.39973574497722808</c:v>
                </c:pt>
                <c:pt idx="11">
                  <c:v>0.59895669819587449</c:v>
                </c:pt>
                <c:pt idx="12">
                  <c:v>0.83703290839300448</c:v>
                </c:pt>
                <c:pt idx="13">
                  <c:v>1.1132364630761258</c:v>
                </c:pt>
                <c:pt idx="14">
                  <c:v>1.4266721450164652</c:v>
                </c:pt>
                <c:pt idx="15">
                  <c:v>1.7762804439413158</c:v>
                </c:pt>
                <c:pt idx="16">
                  <c:v>2.160841289617653</c:v>
                </c:pt>
                <c:pt idx="17">
                  <c:v>2.5789784938897431</c:v>
                </c:pt>
                <c:pt idx="18">
                  <c:v>3.0291648861230818</c:v>
                </c:pt>
                <c:pt idx="19">
                  <c:v>3.5097281234482756</c:v>
                </c:pt>
                <c:pt idx="20">
                  <c:v>4.0188571542042348</c:v>
                </c:pt>
                <c:pt idx="21">
                  <c:v>4.5546093100637881</c:v>
                </c:pt>
                <c:pt idx="22">
                  <c:v>5.1149179994992693</c:v>
                </c:pt>
                <c:pt idx="23">
                  <c:v>5.6976009725235732</c:v>
                </c:pt>
                <c:pt idx="24">
                  <c:v>6.3003691240356483</c:v>
                </c:pt>
                <c:pt idx="25">
                  <c:v>6.9208358006203499</c:v>
                </c:pt>
                <c:pt idx="26">
                  <c:v>7.5565265733122011</c:v>
                </c:pt>
                <c:pt idx="27">
                  <c:v>8.2048894366416985</c:v>
                </c:pt>
                <c:pt idx="28">
                  <c:v>8.8633053922514726</c:v>
                </c:pt>
                <c:pt idx="29">
                  <c:v>9.5290993735075737</c:v>
                </c:pt>
                <c:pt idx="30">
                  <c:v>10.199551465846922</c:v>
                </c:pt>
                <c:pt idx="31">
                  <c:v>10.8719083761041</c:v>
                </c:pt>
                <c:pt idx="32">
                  <c:v>11.543395102756076</c:v>
                </c:pt>
                <c:pt idx="33">
                  <c:v>12.211226757919199</c:v>
                </c:pt>
                <c:pt idx="34">
                  <c:v>12.872620491034173</c:v>
                </c:pt>
                <c:pt idx="35">
                  <c:v>13.524807463486981</c:v>
                </c:pt>
                <c:pt idx="36">
                  <c:v>14.165044822940631</c:v>
                </c:pt>
                <c:pt idx="37">
                  <c:v>14.790627625897431</c:v>
                </c:pt>
                <c:pt idx="38">
                  <c:v>15.398900656976272</c:v>
                </c:pt>
                <c:pt idx="39">
                  <c:v>15.987270093575667</c:v>
                </c:pt>
                <c:pt idx="40">
                  <c:v>16.553214965000819</c:v>
                </c:pt>
                <c:pt idx="41">
                  <c:v>17.094298355761961</c:v>
                </c:pt>
                <c:pt idx="42">
                  <c:v>17.608178303598905</c:v>
                </c:pt>
                <c:pt idx="43">
                  <c:v>18.092618343852049</c:v>
                </c:pt>
                <c:pt idx="44">
                  <c:v>18.545497653077842</c:v>
                </c:pt>
                <c:pt idx="45">
                  <c:v>18.964820746294109</c:v>
                </c:pt>
                <c:pt idx="46">
                  <c:v>19.34872668393113</c:v>
                </c:pt>
                <c:pt idx="47">
                  <c:v>19.695497746452308</c:v>
                </c:pt>
                <c:pt idx="48">
                  <c:v>20.003567536686401</c:v>
                </c:pt>
                <c:pt idx="49">
                  <c:v>20.271528472173511</c:v>
                </c:pt>
                <c:pt idx="50">
                  <c:v>20.49813863226078</c:v>
                </c:pt>
                <c:pt idx="51">
                  <c:v>20.682327927281147</c:v>
                </c:pt>
                <c:pt idx="52">
                  <c:v>20.82320355989938</c:v>
                </c:pt>
                <c:pt idx="53">
                  <c:v>20.920054751602944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371608"/>
        <c:axId val="349372000"/>
      </c:areaChart>
      <c:dateAx>
        <c:axId val="349371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gradFill flip="none" rotWithShape="1">
            <a:gsLst>
              <a:gs pos="0">
                <a:schemeClr val="tx2">
                  <a:lumMod val="60000"/>
                  <a:lumOff val="40000"/>
                </a:schemeClr>
              </a:gs>
              <a:gs pos="100000">
                <a:srgbClr val="FFFFFF"/>
              </a:gs>
            </a:gsLst>
            <a:lin ang="0" scaled="1"/>
            <a:tileRect/>
          </a:gradFill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349372000"/>
        <c:crosses val="autoZero"/>
        <c:auto val="0"/>
        <c:lblOffset val="100"/>
        <c:baseTimeUnit val="days"/>
      </c:dateAx>
      <c:valAx>
        <c:axId val="349372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9371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506439302449097"/>
          <c:y val="0.28192113005105102"/>
          <c:w val="0.14057977875465"/>
          <c:h val="0.3841282339707540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18721936617393E-2"/>
          <c:y val="3.5714285714285698E-2"/>
          <c:w val="0.67702219040801703"/>
          <c:h val="0.87161179371809305"/>
        </c:manualLayout>
      </c:layout>
      <c:areaChart>
        <c:grouping val="standard"/>
        <c:varyColors val="0"/>
        <c:ser>
          <c:idx val="0"/>
          <c:order val="0"/>
          <c:tx>
            <c:strRef>
              <c:f>'ECONOMIC MODEL'!$C$9:$C$10</c:f>
              <c:strCache>
                <c:ptCount val="2"/>
                <c:pt idx="0">
                  <c:v>1) Co2 Emission Potential </c:v>
                </c:pt>
                <c:pt idx="1">
                  <c:v>bTe/an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MODEL'!$C$15:$C$68</c:f>
              <c:numCache>
                <c:formatCode>0.00</c:formatCode>
                <c:ptCount val="54"/>
                <c:pt idx="0">
                  <c:v>33.331239563789055</c:v>
                </c:pt>
                <c:pt idx="1">
                  <c:v>33.414567662698524</c:v>
                </c:pt>
                <c:pt idx="2">
                  <c:v>33.498104081855267</c:v>
                </c:pt>
                <c:pt idx="3">
                  <c:v>33.581849342059904</c:v>
                </c:pt>
                <c:pt idx="4">
                  <c:v>33.665803965415051</c:v>
                </c:pt>
                <c:pt idx="5">
                  <c:v>33.749968475328593</c:v>
                </c:pt>
                <c:pt idx="6">
                  <c:v>33.834343396516914</c:v>
                </c:pt>
                <c:pt idx="7">
                  <c:v>33.918929255008202</c:v>
                </c:pt>
                <c:pt idx="8">
                  <c:v>34.003726578145724</c:v>
                </c:pt>
                <c:pt idx="9">
                  <c:v>34.088735894591082</c:v>
                </c:pt>
                <c:pt idx="10">
                  <c:v>34.173957734327558</c:v>
                </c:pt>
                <c:pt idx="11">
                  <c:v>34.259392628663377</c:v>
                </c:pt>
                <c:pt idx="12">
                  <c:v>34.34504111023503</c:v>
                </c:pt>
                <c:pt idx="13">
                  <c:v>34.430903713010615</c:v>
                </c:pt>
                <c:pt idx="14">
                  <c:v>34.51698097229314</c:v>
                </c:pt>
                <c:pt idx="15">
                  <c:v>34.603273424723866</c:v>
                </c:pt>
                <c:pt idx="16">
                  <c:v>34.689781608285671</c:v>
                </c:pt>
                <c:pt idx="17">
                  <c:v>34.776506062306389</c:v>
                </c:pt>
                <c:pt idx="18">
                  <c:v>34.863447327462154</c:v>
                </c:pt>
                <c:pt idx="19">
                  <c:v>34.950605945780808</c:v>
                </c:pt>
                <c:pt idx="20">
                  <c:v>35.037982460645253</c:v>
                </c:pt>
                <c:pt idx="21">
                  <c:v>35.125577416796865</c:v>
                </c:pt>
                <c:pt idx="22">
                  <c:v>35.213391360338854</c:v>
                </c:pt>
                <c:pt idx="23">
                  <c:v>35.301424838739699</c:v>
                </c:pt>
                <c:pt idx="24">
                  <c:v>35.389678400836544</c:v>
                </c:pt>
                <c:pt idx="25">
                  <c:v>35.478152596838633</c:v>
                </c:pt>
                <c:pt idx="26">
                  <c:v>35.566847978330728</c:v>
                </c:pt>
                <c:pt idx="27">
                  <c:v>35.655765098276554</c:v>
                </c:pt>
                <c:pt idx="28">
                  <c:v>35.744904511022241</c:v>
                </c:pt>
                <c:pt idx="29">
                  <c:v>35.834266772299799</c:v>
                </c:pt>
                <c:pt idx="30">
                  <c:v>35.923852439230544</c:v>
                </c:pt>
                <c:pt idx="31">
                  <c:v>36.013662070328621</c:v>
                </c:pt>
                <c:pt idx="32">
                  <c:v>36.103696225504443</c:v>
                </c:pt>
                <c:pt idx="33">
                  <c:v>36.193955466068203</c:v>
                </c:pt>
                <c:pt idx="34">
                  <c:v>36.28444035473337</c:v>
                </c:pt>
                <c:pt idx="35">
                  <c:v>36.375151455620205</c:v>
                </c:pt>
                <c:pt idx="36">
                  <c:v>36.466089334259252</c:v>
                </c:pt>
                <c:pt idx="37">
                  <c:v>36.557254557594902</c:v>
                </c:pt>
                <c:pt idx="38">
                  <c:v>36.648647693988892</c:v>
                </c:pt>
                <c:pt idx="39">
                  <c:v>36.740269313223862</c:v>
                </c:pt>
                <c:pt idx="40">
                  <c:v>36.832119986506918</c:v>
                </c:pt>
                <c:pt idx="41">
                  <c:v>36.92420028647318</c:v>
                </c:pt>
                <c:pt idx="42">
                  <c:v>37.016510787189361</c:v>
                </c:pt>
                <c:pt idx="43">
                  <c:v>37.109052064157332</c:v>
                </c:pt>
                <c:pt idx="44">
                  <c:v>37.201824694317722</c:v>
                </c:pt>
                <c:pt idx="45">
                  <c:v>37.294829256053518</c:v>
                </c:pt>
                <c:pt idx="46">
                  <c:v>37.388066329193649</c:v>
                </c:pt>
                <c:pt idx="47">
                  <c:v>37.481536495016627</c:v>
                </c:pt>
                <c:pt idx="48">
                  <c:v>37.575240336254168</c:v>
                </c:pt>
                <c:pt idx="49">
                  <c:v>37.6691784370948</c:v>
                </c:pt>
                <c:pt idx="50">
                  <c:v>37.763351383187533</c:v>
                </c:pt>
                <c:pt idx="51">
                  <c:v>37.857759761645497</c:v>
                </c:pt>
                <c:pt idx="52">
                  <c:v>37.952404161049614</c:v>
                </c:pt>
                <c:pt idx="53">
                  <c:v>38.047285171452238</c:v>
                </c:pt>
              </c:numCache>
            </c:numRef>
          </c:val>
        </c:ser>
        <c:ser>
          <c:idx val="1"/>
          <c:order val="1"/>
          <c:tx>
            <c:strRef>
              <c:f>'ECONOMIC MODEL'!$F$9:$F$10</c:f>
              <c:strCache>
                <c:ptCount val="2"/>
                <c:pt idx="0">
                  <c:v>2) Black HC MARKET (CO2 Allowed )</c:v>
                </c:pt>
                <c:pt idx="1">
                  <c:v>bTe/an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val>
            <c:numRef>
              <c:f>'ECONOMIC MODEL'!$F$15:$F$68</c:f>
              <c:numCache>
                <c:formatCode>0.00</c:formatCode>
                <c:ptCount val="54"/>
                <c:pt idx="0">
                  <c:v>33.331239563789055</c:v>
                </c:pt>
                <c:pt idx="1">
                  <c:v>33.414567662698524</c:v>
                </c:pt>
                <c:pt idx="2">
                  <c:v>33.498104081855267</c:v>
                </c:pt>
                <c:pt idx="3">
                  <c:v>33.581849342059904</c:v>
                </c:pt>
                <c:pt idx="4">
                  <c:v>33.665803965415051</c:v>
                </c:pt>
                <c:pt idx="5">
                  <c:v>33.749968475328593</c:v>
                </c:pt>
                <c:pt idx="6">
                  <c:v>33.834343396516914</c:v>
                </c:pt>
                <c:pt idx="7">
                  <c:v>33.852377187739684</c:v>
                </c:pt>
                <c:pt idx="8">
                  <c:v>33.803856933987916</c:v>
                </c:pt>
                <c:pt idx="9">
                  <c:v>33.688855268787812</c:v>
                </c:pt>
                <c:pt idx="10">
                  <c:v>33.507731492698845</c:v>
                </c:pt>
                <c:pt idx="11">
                  <c:v>33.261131465003587</c:v>
                </c:pt>
                <c:pt idx="12">
                  <c:v>32.949986262913356</c:v>
                </c:pt>
                <c:pt idx="13">
                  <c:v>32.575509607883738</c:v>
                </c:pt>
                <c:pt idx="14">
                  <c:v>32.139194063932365</c:v>
                </c:pt>
                <c:pt idx="15">
                  <c:v>31.642806018155007</c:v>
                </c:pt>
                <c:pt idx="16">
                  <c:v>31.088379458922915</c:v>
                </c:pt>
                <c:pt idx="17">
                  <c:v>30.47820857249015</c:v>
                </c:pt>
                <c:pt idx="18">
                  <c:v>29.814839183923684</c:v>
                </c:pt>
                <c:pt idx="19">
                  <c:v>29.101059073367015</c:v>
                </c:pt>
                <c:pt idx="20">
                  <c:v>28.339887203638195</c:v>
                </c:pt>
                <c:pt idx="21">
                  <c:v>27.534561900023885</c:v>
                </c:pt>
                <c:pt idx="22">
                  <c:v>26.688528027840071</c:v>
                </c:pt>
                <c:pt idx="23">
                  <c:v>25.805423217867077</c:v>
                </c:pt>
                <c:pt idx="24">
                  <c:v>24.889063194110463</c:v>
                </c:pt>
                <c:pt idx="25">
                  <c:v>23.943426262471384</c:v>
                </c:pt>
                <c:pt idx="26">
                  <c:v>22.972637022810392</c:v>
                </c:pt>
                <c:pt idx="27">
                  <c:v>21.98094937054039</c:v>
                </c:pt>
                <c:pt idx="28">
                  <c:v>20.972728857269786</c:v>
                </c:pt>
                <c:pt idx="29">
                  <c:v>19.952434483120509</c:v>
                </c:pt>
                <c:pt idx="30">
                  <c:v>18.924599996152342</c:v>
                </c:pt>
                <c:pt idx="31">
                  <c:v>17.893814776821788</c:v>
                </c:pt>
                <c:pt idx="32">
                  <c:v>16.86470438757765</c:v>
                </c:pt>
                <c:pt idx="33">
                  <c:v>15.841910869536203</c:v>
                </c:pt>
                <c:pt idx="34">
                  <c:v>14.830072869676414</c:v>
                </c:pt>
                <c:pt idx="35">
                  <c:v>13.833805683141902</c:v>
                </c:pt>
                <c:pt idx="36">
                  <c:v>12.857681296024863</c:v>
                </c:pt>
                <c:pt idx="37">
                  <c:v>11.906208514432517</c:v>
                </c:pt>
                <c:pt idx="38">
                  <c:v>10.983813265695103</c:v>
                </c:pt>
                <c:pt idx="39">
                  <c:v>10.094819157264419</c:v>
                </c:pt>
                <c:pt idx="40">
                  <c:v>9.2434283781722151</c:v>
                </c:pt>
                <c:pt idx="41">
                  <c:v>8.4337030268699138</c:v>
                </c:pt>
                <c:pt idx="42">
                  <c:v>7.6695469478578504</c:v>
                </c:pt>
                <c:pt idx="43">
                  <c:v>6.9546881577372472</c:v>
                </c:pt>
                <c:pt idx="44">
                  <c:v>6.2926619391879859</c:v>
                </c:pt>
                <c:pt idx="45">
                  <c:v>5.6867946788966686</c:v>
                </c:pt>
                <c:pt idx="46">
                  <c:v>5.1401885226417674</c:v>
                </c:pt>
                <c:pt idx="47">
                  <c:v>4.655706917596115</c:v>
                </c:pt>
                <c:pt idx="48">
                  <c:v>4.2359611084435</c:v>
                </c:pt>
                <c:pt idx="49">
                  <c:v>3.8832976501389527</c:v>
                </c:pt>
                <c:pt idx="50">
                  <c:v>3.5997869960862321</c:v>
                </c:pt>
                <c:pt idx="51">
                  <c:v>3.3872132161769146</c:v>
                </c:pt>
                <c:pt idx="52">
                  <c:v>3.2470648945506446</c:v>
                </c:pt>
                <c:pt idx="53">
                  <c:v>3.1805272521139965</c:v>
                </c:pt>
              </c:numCache>
            </c:numRef>
          </c:val>
        </c:ser>
        <c:ser>
          <c:idx val="2"/>
          <c:order val="2"/>
          <c:tx>
            <c:strRef>
              <c:f>'ECONOMIC MODEL'!$H$9:$H$10</c:f>
              <c:strCache>
                <c:ptCount val="2"/>
                <c:pt idx="0">
                  <c:v>4) RENUABLES  MARKET GROWTH - </c:v>
                </c:pt>
                <c:pt idx="1">
                  <c:v>bTe/an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val>
            <c:numRef>
              <c:f>'ECONOMIC MODEL'!$H$15:$H$68</c:f>
              <c:numCache>
                <c:formatCode>0.00</c:formatCode>
                <c:ptCount val="54"/>
                <c:pt idx="0">
                  <c:v>0.52030200500000001</c:v>
                </c:pt>
                <c:pt idx="1">
                  <c:v>0.52550502504999996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2.6620826907407039E-2</c:v>
                </c:pt>
                <c:pt idx="8">
                  <c:v>7.9947857663123054E-2</c:v>
                </c:pt>
                <c:pt idx="9">
                  <c:v>0.15995225032130805</c:v>
                </c:pt>
                <c:pt idx="10">
                  <c:v>0.26649049665148539</c:v>
                </c:pt>
                <c:pt idx="11">
                  <c:v>0.3993044654639164</c:v>
                </c:pt>
                <c:pt idx="12">
                  <c:v>0.55802193892866969</c:v>
                </c:pt>
                <c:pt idx="13">
                  <c:v>0.74215764205075063</c:v>
                </c:pt>
                <c:pt idx="14">
                  <c:v>0.95111476334431022</c:v>
                </c:pt>
                <c:pt idx="15">
                  <c:v>1.1841869626275441</c:v>
                </c:pt>
                <c:pt idx="16">
                  <c:v>1.4405608597451023</c:v>
                </c:pt>
                <c:pt idx="17">
                  <c:v>1.7193189959264956</c:v>
                </c:pt>
                <c:pt idx="18">
                  <c:v>2.019443257415388</c:v>
                </c:pt>
                <c:pt idx="19">
                  <c:v>2.3398187489655173</c:v>
                </c:pt>
                <c:pt idx="20">
                  <c:v>2.6792381028028234</c:v>
                </c:pt>
                <c:pt idx="21">
                  <c:v>3.0364062067091924</c:v>
                </c:pt>
                <c:pt idx="22">
                  <c:v>3.4099453329995129</c:v>
                </c:pt>
                <c:pt idx="23">
                  <c:v>3.7984006483490491</c:v>
                </c:pt>
                <c:pt idx="24">
                  <c:v>4.2002460826904331</c:v>
                </c:pt>
                <c:pt idx="25">
                  <c:v>4.6138905337468996</c:v>
                </c:pt>
                <c:pt idx="26">
                  <c:v>5.0376843822081341</c:v>
                </c:pt>
                <c:pt idx="27">
                  <c:v>5.4699262910944659</c:v>
                </c:pt>
                <c:pt idx="28">
                  <c:v>5.9088702615009829</c:v>
                </c:pt>
                <c:pt idx="29">
                  <c:v>6.3527329156717158</c:v>
                </c:pt>
                <c:pt idx="30">
                  <c:v>6.7997009772312813</c:v>
                </c:pt>
                <c:pt idx="31">
                  <c:v>7.2479389174027338</c:v>
                </c:pt>
                <c:pt idx="32">
                  <c:v>7.6955967351707173</c:v>
                </c:pt>
                <c:pt idx="33">
                  <c:v>8.1408178386128007</c:v>
                </c:pt>
                <c:pt idx="34">
                  <c:v>8.5817469940227831</c:v>
                </c:pt>
                <c:pt idx="35">
                  <c:v>9.0165383089913202</c:v>
                </c:pt>
                <c:pt idx="36">
                  <c:v>9.4433632152937559</c:v>
                </c:pt>
                <c:pt idx="37">
                  <c:v>9.8604184172649543</c:v>
                </c:pt>
                <c:pt idx="38">
                  <c:v>10.265933771317515</c:v>
                </c:pt>
                <c:pt idx="39">
                  <c:v>10.658180062383778</c:v>
                </c:pt>
                <c:pt idx="40">
                  <c:v>11.035476643333881</c:v>
                </c:pt>
                <c:pt idx="41">
                  <c:v>11.396198903841308</c:v>
                </c:pt>
                <c:pt idx="42">
                  <c:v>11.738785535732605</c:v>
                </c:pt>
                <c:pt idx="43">
                  <c:v>12.061745562568035</c:v>
                </c:pt>
                <c:pt idx="44">
                  <c:v>12.363665102051895</c:v>
                </c:pt>
                <c:pt idx="45">
                  <c:v>12.643213830862742</c:v>
                </c:pt>
                <c:pt idx="46">
                  <c:v>12.899151122620754</c:v>
                </c:pt>
                <c:pt idx="47">
                  <c:v>13.130331830968206</c:v>
                </c:pt>
                <c:pt idx="48">
                  <c:v>13.335711691124269</c:v>
                </c:pt>
                <c:pt idx="49">
                  <c:v>13.514352314782341</c:v>
                </c:pt>
                <c:pt idx="50">
                  <c:v>13.665425754840522</c:v>
                </c:pt>
                <c:pt idx="51">
                  <c:v>13.788218618187432</c:v>
                </c:pt>
                <c:pt idx="52">
                  <c:v>13.882135706599588</c:v>
                </c:pt>
                <c:pt idx="53">
                  <c:v>13.946703167735297</c:v>
                </c:pt>
              </c:numCache>
            </c:numRef>
          </c:val>
        </c:ser>
        <c:ser>
          <c:idx val="3"/>
          <c:order val="3"/>
          <c:tx>
            <c:strRef>
              <c:f>'ECONOMIC MODEL'!$I$9:$I$10</c:f>
              <c:strCache>
                <c:ptCount val="2"/>
                <c:pt idx="0">
                  <c:v>5) Red HC MARKET GROWTH</c:v>
                </c:pt>
                <c:pt idx="1">
                  <c:v>bTe/an</c:v>
                </c:pt>
              </c:strCache>
            </c:strRef>
          </c:tx>
          <c:spPr>
            <a:solidFill>
              <a:srgbClr val="FF0000">
                <a:alpha val="49000"/>
              </a:srgbClr>
            </a:solidFill>
            <a:ln w="25400">
              <a:noFill/>
            </a:ln>
          </c:spPr>
          <c:val>
            <c:numRef>
              <c:f>'ECONOMIC MODEL'!$I$15:$I$68</c:f>
              <c:numCache>
                <c:formatCode>0.00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3.9931240361110551E-2</c:v>
                </c:pt>
                <c:pt idx="8">
                  <c:v>0.11992178649468456</c:v>
                </c:pt>
                <c:pt idx="9">
                  <c:v>0.23992837548196205</c:v>
                </c:pt>
                <c:pt idx="10">
                  <c:v>0.39973574497722808</c:v>
                </c:pt>
                <c:pt idx="11">
                  <c:v>0.59895669819587449</c:v>
                </c:pt>
                <c:pt idx="12">
                  <c:v>0.83703290839300448</c:v>
                </c:pt>
                <c:pt idx="13">
                  <c:v>1.1132364630761258</c:v>
                </c:pt>
                <c:pt idx="14">
                  <c:v>1.4266721450164652</c:v>
                </c:pt>
                <c:pt idx="15">
                  <c:v>1.7762804439413158</c:v>
                </c:pt>
                <c:pt idx="16">
                  <c:v>2.160841289617653</c:v>
                </c:pt>
                <c:pt idx="17">
                  <c:v>2.5789784938897431</c:v>
                </c:pt>
                <c:pt idx="18">
                  <c:v>3.0291648861230818</c:v>
                </c:pt>
                <c:pt idx="19">
                  <c:v>3.5097281234482756</c:v>
                </c:pt>
                <c:pt idx="20">
                  <c:v>4.0188571542042348</c:v>
                </c:pt>
                <c:pt idx="21">
                  <c:v>4.5546093100637881</c:v>
                </c:pt>
                <c:pt idx="22">
                  <c:v>5.1149179994992693</c:v>
                </c:pt>
                <c:pt idx="23">
                  <c:v>5.6976009725235732</c:v>
                </c:pt>
                <c:pt idx="24">
                  <c:v>6.3003691240356483</c:v>
                </c:pt>
                <c:pt idx="25">
                  <c:v>6.9208358006203499</c:v>
                </c:pt>
                <c:pt idx="26">
                  <c:v>7.5565265733122011</c:v>
                </c:pt>
                <c:pt idx="27">
                  <c:v>8.2048894366416985</c:v>
                </c:pt>
                <c:pt idx="28">
                  <c:v>8.8633053922514726</c:v>
                </c:pt>
                <c:pt idx="29">
                  <c:v>9.5290993735075737</c:v>
                </c:pt>
                <c:pt idx="30">
                  <c:v>10.199551465846922</c:v>
                </c:pt>
                <c:pt idx="31">
                  <c:v>10.8719083761041</c:v>
                </c:pt>
                <c:pt idx="32">
                  <c:v>11.543395102756076</c:v>
                </c:pt>
                <c:pt idx="33">
                  <c:v>12.211226757919199</c:v>
                </c:pt>
                <c:pt idx="34">
                  <c:v>12.872620491034173</c:v>
                </c:pt>
                <c:pt idx="35">
                  <c:v>13.524807463486981</c:v>
                </c:pt>
                <c:pt idx="36">
                  <c:v>14.165044822940631</c:v>
                </c:pt>
                <c:pt idx="37">
                  <c:v>14.790627625897431</c:v>
                </c:pt>
                <c:pt idx="38">
                  <c:v>15.398900656976272</c:v>
                </c:pt>
                <c:pt idx="39">
                  <c:v>15.987270093575667</c:v>
                </c:pt>
                <c:pt idx="40">
                  <c:v>16.553214965000819</c:v>
                </c:pt>
                <c:pt idx="41">
                  <c:v>17.094298355761961</c:v>
                </c:pt>
                <c:pt idx="42">
                  <c:v>17.608178303598905</c:v>
                </c:pt>
                <c:pt idx="43">
                  <c:v>18.092618343852049</c:v>
                </c:pt>
                <c:pt idx="44">
                  <c:v>18.545497653077842</c:v>
                </c:pt>
                <c:pt idx="45">
                  <c:v>18.964820746294109</c:v>
                </c:pt>
                <c:pt idx="46">
                  <c:v>19.34872668393113</c:v>
                </c:pt>
                <c:pt idx="47">
                  <c:v>19.695497746452308</c:v>
                </c:pt>
                <c:pt idx="48">
                  <c:v>20.003567536686401</c:v>
                </c:pt>
                <c:pt idx="49">
                  <c:v>20.271528472173511</c:v>
                </c:pt>
                <c:pt idx="50">
                  <c:v>20.49813863226078</c:v>
                </c:pt>
                <c:pt idx="51">
                  <c:v>20.682327927281147</c:v>
                </c:pt>
                <c:pt idx="52">
                  <c:v>20.82320355989938</c:v>
                </c:pt>
                <c:pt idx="53">
                  <c:v>20.920054751602944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373176"/>
        <c:axId val="349373568"/>
      </c:areaChart>
      <c:catAx>
        <c:axId val="3493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gradFill flip="none" rotWithShape="1">
            <a:gsLst>
              <a:gs pos="0">
                <a:schemeClr val="tx2">
                  <a:lumMod val="60000"/>
                  <a:lumOff val="40000"/>
                  <a:alpha val="71000"/>
                </a:schemeClr>
              </a:gs>
              <a:gs pos="100000">
                <a:srgbClr val="FFFFFF">
                  <a:alpha val="71000"/>
                </a:srgbClr>
              </a:gs>
            </a:gsLst>
            <a:lin ang="0" scaled="1"/>
            <a:tileRect/>
          </a:gradFill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349373568"/>
        <c:crosses val="autoZero"/>
        <c:auto val="1"/>
        <c:lblAlgn val="ctr"/>
        <c:lblOffset val="100"/>
        <c:tickLblSkip val="5"/>
        <c:noMultiLvlLbl val="0"/>
      </c:catAx>
      <c:valAx>
        <c:axId val="3493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9373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826092050993601"/>
          <c:y val="0.29923790776152998"/>
          <c:w val="0.18560109673790801"/>
          <c:h val="0.5009111361079869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'ECONOMIC MODEL'!$L$9:$L$10</c:f>
              <c:strCache>
                <c:ptCount val="2"/>
                <c:pt idx="0">
                  <c:v>Renewables investment</c:v>
                </c:pt>
                <c:pt idx="1">
                  <c:v> € Bn</c:v>
                </c:pt>
              </c:strCache>
            </c:strRef>
          </c:tx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MODEL'!$L$15:$L$68</c:f>
              <c:numCache>
                <c:formatCode>_-[$€-2]\ * #,##0_-;\-[$€-2]\ * #,##0_-;_-[$€-2]\ * "-"??_-;_-@_-</c:formatCode>
                <c:ptCount val="54"/>
                <c:pt idx="0">
                  <c:v>0.62436240599999415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3.1944992288888447</c:v>
                </c:pt>
                <c:pt idx="7">
                  <c:v>6.399243690685922</c:v>
                </c:pt>
                <c:pt idx="8">
                  <c:v>9.6005271189821997</c:v>
                </c:pt>
                <c:pt idx="9">
                  <c:v>12.78458955962128</c:v>
                </c:pt>
                <c:pt idx="10">
                  <c:v>15.937676257491722</c:v>
                </c:pt>
                <c:pt idx="11">
                  <c:v>19.046096815770394</c:v>
                </c:pt>
                <c:pt idx="12">
                  <c:v>22.096284374649713</c:v>
                </c:pt>
                <c:pt idx="13">
                  <c:v>25.074854555227152</c:v>
                </c:pt>
                <c:pt idx="14">
                  <c:v>27.968663913988063</c:v>
                </c:pt>
                <c:pt idx="15">
                  <c:v>30.764867654106986</c:v>
                </c:pt>
                <c:pt idx="16">
                  <c:v>33.450976341767202</c:v>
                </c:pt>
                <c:pt idx="17">
                  <c:v>36.014911378667087</c:v>
                </c:pt>
                <c:pt idx="18">
                  <c:v>38.445058986015525</c:v>
                </c:pt>
                <c:pt idx="19">
                  <c:v>40.730322460476728</c:v>
                </c:pt>
                <c:pt idx="20">
                  <c:v>42.860172468764276</c:v>
                </c:pt>
                <c:pt idx="21">
                  <c:v>44.824695154838459</c:v>
                </c:pt>
                <c:pt idx="22">
                  <c:v>46.614637841944351</c:v>
                </c:pt>
                <c:pt idx="23">
                  <c:v>48.221452120966077</c:v>
                </c:pt>
                <c:pt idx="24">
                  <c:v>49.637334126775983</c:v>
                </c:pt>
                <c:pt idx="25">
                  <c:v>50.855261815348136</c:v>
                </c:pt>
                <c:pt idx="26">
                  <c:v>51.869029066359822</c:v>
                </c:pt>
                <c:pt idx="27">
                  <c:v>52.67327644878204</c:v>
                </c:pt>
                <c:pt idx="28">
                  <c:v>53.263518500487947</c:v>
                </c:pt>
                <c:pt idx="29">
                  <c:v>53.636167387147857</c:v>
                </c:pt>
                <c:pt idx="30">
                  <c:v>53.788552820574296</c:v>
                </c:pt>
                <c:pt idx="31">
                  <c:v>53.718938132158023</c:v>
                </c:pt>
                <c:pt idx="32">
                  <c:v>53.426532413050012</c:v>
                </c:pt>
                <c:pt idx="33">
                  <c:v>52.911498649197881</c:v>
                </c:pt>
                <c:pt idx="34">
                  <c:v>52.174957796224462</c:v>
                </c:pt>
                <c:pt idx="35">
                  <c:v>51.218988756292276</c:v>
                </c:pt>
                <c:pt idx="36">
                  <c:v>50.046624236543806</c:v>
                </c:pt>
                <c:pt idx="37">
                  <c:v>48.661842486307307</c:v>
                </c:pt>
                <c:pt idx="38">
                  <c:v>47.069554927951529</c:v>
                </c:pt>
                <c:pt idx="39">
                  <c:v>45.275589714012412</c:v>
                </c:pt>
                <c:pt idx="40">
                  <c:v>43.286671260891154</c:v>
                </c:pt>
                <c:pt idx="41">
                  <c:v>41.110395826955681</c:v>
                </c:pt>
                <c:pt idx="42">
                  <c:v>38.755203220251602</c:v>
                </c:pt>
                <c:pt idx="43">
                  <c:v>36.230344738063209</c:v>
                </c:pt>
                <c:pt idx="44">
                  <c:v>33.545847457301576</c:v>
                </c:pt>
                <c:pt idx="45">
                  <c:v>30.712475010961526</c:v>
                </c:pt>
                <c:pt idx="46">
                  <c:v>27.741685001694236</c:v>
                </c:pt>
                <c:pt idx="47">
                  <c:v>24.645583218727509</c:v>
                </c:pt>
                <c:pt idx="48">
                  <c:v>21.436874838968691</c:v>
                </c:pt>
                <c:pt idx="49">
                  <c:v>18.128812806981642</c:v>
                </c:pt>
                <c:pt idx="50">
                  <c:v>14.735143601629304</c:v>
                </c:pt>
                <c:pt idx="51">
                  <c:v>11.270050609458622</c:v>
                </c:pt>
                <c:pt idx="52">
                  <c:v>7.7480953362851324</c:v>
                </c:pt>
                <c:pt idx="5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'ECONOMIC MODEL'!$M$9:$M$10</c:f>
              <c:strCache>
                <c:ptCount val="2"/>
                <c:pt idx="0">
                  <c:v>CCS investment</c:v>
                </c:pt>
                <c:pt idx="1">
                  <c:v> € Bn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</c:spPr>
          <c:cat>
            <c:numRef>
              <c:f>'ECONOMIC MODEL'!$A$15:$A$68</c:f>
              <c:numCache>
                <c:formatCode>General</c:formatCode>
                <c:ptCount val="5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</c:numCache>
            </c:numRef>
          </c:cat>
          <c:val>
            <c:numRef>
              <c:f>'ECONOMIC MODEL'!$M$15:$M$68</c:f>
              <c:numCache>
                <c:formatCode>_-[$€-2]\ * #,##0_-;\-[$€-2]\ * #,##0_-;_-[$€-2]\ * "-"??_-;_-@_-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4.7917488433332664</c:v>
                </c:pt>
                <c:pt idx="7">
                  <c:v>9.5988655360288817</c:v>
                </c:pt>
                <c:pt idx="8">
                  <c:v>14.4007906784733</c:v>
                </c:pt>
                <c:pt idx="9">
                  <c:v>19.176884339431922</c:v>
                </c:pt>
                <c:pt idx="10">
                  <c:v>23.906514386237568</c:v>
                </c:pt>
                <c:pt idx="11">
                  <c:v>28.5691452236556</c:v>
                </c:pt>
                <c:pt idx="12">
                  <c:v>33.144426561974555</c:v>
                </c:pt>
                <c:pt idx="13">
                  <c:v>37.612281832840736</c:v>
                </c:pt>
                <c:pt idx="14">
                  <c:v>41.952995870982065</c:v>
                </c:pt>
                <c:pt idx="15">
                  <c:v>46.147301481160461</c:v>
                </c:pt>
                <c:pt idx="16">
                  <c:v>50.17646451265081</c:v>
                </c:pt>
                <c:pt idx="17">
                  <c:v>54.022367068000641</c:v>
                </c:pt>
                <c:pt idx="18">
                  <c:v>57.667588479023252</c:v>
                </c:pt>
                <c:pt idx="19">
                  <c:v>61.095483690715113</c:v>
                </c:pt>
                <c:pt idx="20">
                  <c:v>64.290258703146392</c:v>
                </c:pt>
                <c:pt idx="21">
                  <c:v>67.237042732257748</c:v>
                </c:pt>
                <c:pt idx="22">
                  <c:v>69.921956762916466</c:v>
                </c:pt>
                <c:pt idx="23">
                  <c:v>72.332178181449009</c:v>
                </c:pt>
                <c:pt idx="24">
                  <c:v>74.456001190164187</c:v>
                </c:pt>
                <c:pt idx="25">
                  <c:v>76.282892723022144</c:v>
                </c:pt>
                <c:pt idx="26">
                  <c:v>77.80354359953968</c:v>
                </c:pt>
                <c:pt idx="27">
                  <c:v>79.009914673172901</c:v>
                </c:pt>
                <c:pt idx="28">
                  <c:v>79.895277750732134</c:v>
                </c:pt>
                <c:pt idx="29">
                  <c:v>80.454251080721733</c:v>
                </c:pt>
                <c:pt idx="30">
                  <c:v>80.682829230861444</c:v>
                </c:pt>
                <c:pt idx="31">
                  <c:v>80.578407198237088</c:v>
                </c:pt>
                <c:pt idx="32">
                  <c:v>80.139798619574805</c:v>
                </c:pt>
                <c:pt idx="33">
                  <c:v>79.367247973796822</c:v>
                </c:pt>
                <c:pt idx="34">
                  <c:v>78.262436694337012</c:v>
                </c:pt>
                <c:pt idx="35">
                  <c:v>76.828483134437988</c:v>
                </c:pt>
                <c:pt idx="36">
                  <c:v>75.069936354815923</c:v>
                </c:pt>
                <c:pt idx="37">
                  <c:v>72.992763729460961</c:v>
                </c:pt>
                <c:pt idx="38">
                  <c:v>70.6043323919274</c:v>
                </c:pt>
                <c:pt idx="39">
                  <c:v>67.913384571018298</c:v>
                </c:pt>
                <c:pt idx="40">
                  <c:v>64.930006891336944</c:v>
                </c:pt>
                <c:pt idx="41">
                  <c:v>61.665593740433309</c:v>
                </c:pt>
                <c:pt idx="42">
                  <c:v>58.132804830377296</c:v>
                </c:pt>
                <c:pt idx="43">
                  <c:v>54.345517107095134</c:v>
                </c:pt>
                <c:pt idx="44">
                  <c:v>50.318771185952045</c:v>
                </c:pt>
                <c:pt idx="45">
                  <c:v>46.068712516442503</c:v>
                </c:pt>
                <c:pt idx="46">
                  <c:v>41.612527502541354</c:v>
                </c:pt>
                <c:pt idx="47">
                  <c:v>36.968374828091157</c:v>
                </c:pt>
                <c:pt idx="48">
                  <c:v>32.15531225845325</c:v>
                </c:pt>
                <c:pt idx="49">
                  <c:v>27.19321921047225</c:v>
                </c:pt>
                <c:pt idx="50">
                  <c:v>22.102715402444062</c:v>
                </c:pt>
                <c:pt idx="51">
                  <c:v>16.905075914187933</c:v>
                </c:pt>
                <c:pt idx="52">
                  <c:v>11.622143004427699</c:v>
                </c:pt>
                <c:pt idx="5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24104"/>
        <c:axId val="192524496"/>
      </c:areaChart>
      <c:catAx>
        <c:axId val="1925241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92524496"/>
        <c:crosses val="autoZero"/>
        <c:auto val="1"/>
        <c:lblAlgn val="ctr"/>
        <c:lblOffset val="100"/>
        <c:tickLblSkip val="5"/>
        <c:noMultiLvlLbl val="0"/>
      </c:catAx>
      <c:valAx>
        <c:axId val="192524496"/>
        <c:scaling>
          <c:orientation val="minMax"/>
        </c:scaling>
        <c:delete val="0"/>
        <c:axPos val="l"/>
        <c:majorGridlines/>
        <c:numFmt formatCode="_-[$€-2]\ * #,##0_-;\-[$€-2]\ * #,##0_-;_-[$€-2]\ 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9252410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192574641512919"/>
          <c:y val="3.240740740740739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'ECONOMIC MODEL'!$D$9</c:f>
              <c:strCache>
                <c:ptCount val="1"/>
                <c:pt idx="0">
                  <c:v>CO2 emissions decline rate. </c:v>
                </c:pt>
              </c:strCache>
            </c:strRef>
          </c:tx>
          <c:marker>
            <c:symbol val="none"/>
          </c:marker>
          <c:val>
            <c:numRef>
              <c:f>'ECONOMIC MODEL'!$D$15:$D$68</c:f>
              <c:numCache>
                <c:formatCode>0.00%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1.96209222196163E-3</c:v>
                </c:pt>
                <c:pt idx="8">
                  <c:v>3.9157824779915678E-3</c:v>
                </c:pt>
                <c:pt idx="9">
                  <c:v>5.8527047806053731E-3</c:v>
                </c:pt>
                <c:pt idx="10">
                  <c:v>7.764564945148148E-3</c:v>
                </c:pt>
                <c:pt idx="11">
                  <c:v>9.6431761067065826E-3</c:v>
                </c:pt>
                <c:pt idx="12">
                  <c:v>1.1480493777462193E-2</c:v>
                </c:pt>
                <c:pt idx="13">
                  <c:v>1.3268650294365001E-2</c:v>
                </c:pt>
                <c:pt idx="14">
                  <c:v>1.499998850961767E-2</c:v>
                </c:pt>
                <c:pt idx="15">
                  <c:v>1.6667094579702571E-2</c:v>
                </c:pt>
                <c:pt idx="16">
                  <c:v>1.8262829712544289E-2</c:v>
                </c:pt>
                <c:pt idx="17">
                  <c:v>1.9780360736861638E-2</c:v>
                </c:pt>
                <c:pt idx="18">
                  <c:v>2.1213189362806723E-2</c:v>
                </c:pt>
                <c:pt idx="19">
                  <c:v>2.2555180008592728E-2</c:v>
                </c:pt>
                <c:pt idx="20">
                  <c:v>2.3800586073952672E-2</c:v>
                </c:pt>
                <c:pt idx="21">
                  <c:v>2.4944074547922468E-2</c:v>
                </c:pt>
                <c:pt idx="22">
                  <c:v>2.5980748845574025E-2</c:v>
                </c:pt>
                <c:pt idx="23">
                  <c:v>2.6906169775908255E-2</c:v>
                </c:pt>
                <c:pt idx="24">
                  <c:v>2.7716374551120318E-2</c:v>
                </c:pt>
                <c:pt idx="25">
                  <c:v>2.8407893755836747E-2</c:v>
                </c:pt>
                <c:pt idx="26">
                  <c:v>2.8977766203659629E-2</c:v>
                </c:pt>
                <c:pt idx="27">
                  <c:v>2.9423551617399936E-2</c:v>
                </c:pt>
                <c:pt idx="28">
                  <c:v>2.9743341078701455E-2</c:v>
                </c:pt>
                <c:pt idx="29">
                  <c:v>2.9935765202308433E-2</c:v>
                </c:pt>
                <c:pt idx="30">
                  <c:v>2.9999999999973593E-2</c:v>
                </c:pt>
                <c:pt idx="31">
                  <c:v>2.9935770408896327E-2</c:v>
                </c:pt>
                <c:pt idx="32">
                  <c:v>2.9743351469581871E-2</c:v>
                </c:pt>
                <c:pt idx="33">
                  <c:v>2.9423567148077607E-2</c:v>
                </c:pt>
                <c:pt idx="34">
                  <c:v>2.8977786807629916E-2</c:v>
                </c:pt>
                <c:pt idx="35">
                  <c:v>2.8407919344870438E-2</c:v>
                </c:pt>
                <c:pt idx="36">
                  <c:v>2.7716405015641425E-2</c:v>
                </c:pt>
                <c:pt idx="37">
                  <c:v>2.6906204985463245E-2</c:v>
                </c:pt>
                <c:pt idx="38">
                  <c:v>2.5980788649390438E-2</c:v>
                </c:pt>
                <c:pt idx="39">
                  <c:v>2.4944118775554535E-2</c:v>
                </c:pt>
                <c:pt idx="40">
                  <c:v>2.3800634536011195E-2</c:v>
                </c:pt>
                <c:pt idx="41">
                  <c:v>2.2555232497556092E-2</c:v>
                </c:pt>
                <c:pt idx="42">
                  <c:v>2.1213245653909498E-2</c:v>
                </c:pt>
                <c:pt idx="43">
                  <c:v>1.9780420589057095E-2</c:v>
                </c:pt>
                <c:pt idx="44">
                  <c:v>1.8262892869536571E-2</c:v>
                </c:pt>
                <c:pt idx="45">
                  <c:v>1.6667160771044201E-2</c:v>
                </c:pt>
                <c:pt idx="46">
                  <c:v>1.5000057451867626E-2</c:v>
                </c:pt>
                <c:pt idx="47">
                  <c:v>1.3268721692302508E-2</c:v>
                </c:pt>
                <c:pt idx="48">
                  <c:v>1.1480567325350815E-2</c:v>
                </c:pt>
                <c:pt idx="49">
                  <c:v>9.6432514896034986E-3</c:v>
                </c:pt>
                <c:pt idx="50">
                  <c:v>7.7646418402527789E-3</c:v>
                </c:pt>
                <c:pt idx="51">
                  <c:v>5.8527828586416326E-3</c:v>
                </c:pt>
                <c:pt idx="52">
                  <c:v>3.9158614046178796E-3</c:v>
                </c:pt>
                <c:pt idx="53">
                  <c:v>1.9621716592026234E-3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372784"/>
        <c:axId val="192525280"/>
      </c:lineChart>
      <c:catAx>
        <c:axId val="34937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525280"/>
        <c:crosses val="autoZero"/>
        <c:auto val="1"/>
        <c:lblAlgn val="ctr"/>
        <c:lblOffset val="100"/>
        <c:noMultiLvlLbl val="0"/>
      </c:catAx>
      <c:valAx>
        <c:axId val="1925252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4937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3</xdr:row>
      <xdr:rowOff>0</xdr:rowOff>
    </xdr:from>
    <xdr:to>
      <xdr:col>11</xdr:col>
      <xdr:colOff>330200</xdr:colOff>
      <xdr:row>16</xdr:row>
      <xdr:rowOff>25400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00" y="571500"/>
          <a:ext cx="8293100" cy="2501900"/>
        </a:xfrm>
        <a:prstGeom prst="rect">
          <a:avLst/>
        </a:prstGeom>
      </xdr:spPr>
    </xdr:pic>
    <xdr:clientData/>
  </xdr:twoCellAnchor>
  <xdr:twoCellAnchor>
    <xdr:from>
      <xdr:col>9</xdr:col>
      <xdr:colOff>190500</xdr:colOff>
      <xdr:row>14</xdr:row>
      <xdr:rowOff>63500</xdr:rowOff>
    </xdr:from>
    <xdr:to>
      <xdr:col>9</xdr:col>
      <xdr:colOff>203200</xdr:colOff>
      <xdr:row>14</xdr:row>
      <xdr:rowOff>76200</xdr:rowOff>
    </xdr:to>
    <xdr:cxnSp macro="">
      <xdr:nvCxnSpPr>
        <xdr:cNvPr id="3" name="Straight Connector 2"/>
        <xdr:cNvCxnSpPr/>
      </xdr:nvCxnSpPr>
      <xdr:spPr>
        <a:xfrm>
          <a:off x="18630900" y="3949700"/>
          <a:ext cx="12700" cy="127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431800</xdr:colOff>
      <xdr:row>2</xdr:row>
      <xdr:rowOff>81280</xdr:rowOff>
    </xdr:from>
    <xdr:to>
      <xdr:col>12</xdr:col>
      <xdr:colOff>398780</xdr:colOff>
      <xdr:row>5</xdr:row>
      <xdr:rowOff>25400</xdr:rowOff>
    </xdr:to>
    <xdr:grpSp>
      <xdr:nvGrpSpPr>
        <xdr:cNvPr id="4" name="Group 3"/>
        <xdr:cNvGrpSpPr/>
      </xdr:nvGrpSpPr>
      <xdr:grpSpPr>
        <a:xfrm>
          <a:off x="7604125" y="481330"/>
          <a:ext cx="3586480" cy="544195"/>
          <a:chOff x="12928600" y="2049780"/>
          <a:chExt cx="3268980" cy="2065020"/>
        </a:xfrm>
      </xdr:grpSpPr>
      <xdr:cxnSp macro="">
        <xdr:nvCxnSpPr>
          <xdr:cNvPr id="5" name="Straight Connector 4"/>
          <xdr:cNvCxnSpPr/>
        </xdr:nvCxnSpPr>
        <xdr:spPr>
          <a:xfrm flipV="1">
            <a:off x="16192500" y="2049780"/>
            <a:ext cx="5080" cy="2065020"/>
          </a:xfrm>
          <a:prstGeom prst="line">
            <a:avLst/>
          </a:prstGeom>
          <a:ln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/>
          <xdr:cNvCxnSpPr/>
        </xdr:nvCxnSpPr>
        <xdr:spPr>
          <a:xfrm flipH="1">
            <a:off x="12928600" y="2057400"/>
            <a:ext cx="3263900" cy="38100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25400</xdr:colOff>
      <xdr:row>57</xdr:row>
      <xdr:rowOff>25400</xdr:rowOff>
    </xdr:from>
    <xdr:to>
      <xdr:col>11</xdr:col>
      <xdr:colOff>673100</xdr:colOff>
      <xdr:row>84</xdr:row>
      <xdr:rowOff>25400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838200</xdr:colOff>
      <xdr:row>57</xdr:row>
      <xdr:rowOff>12700</xdr:rowOff>
    </xdr:from>
    <xdr:to>
      <xdr:col>24</xdr:col>
      <xdr:colOff>444500</xdr:colOff>
      <xdr:row>84</xdr:row>
      <xdr:rowOff>50800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762000</xdr:colOff>
      <xdr:row>87</xdr:row>
      <xdr:rowOff>0</xdr:rowOff>
    </xdr:from>
    <xdr:to>
      <xdr:col>11</xdr:col>
      <xdr:colOff>685800</xdr:colOff>
      <xdr:row>102</xdr:row>
      <xdr:rowOff>120650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330200</xdr:colOff>
      <xdr:row>45</xdr:row>
      <xdr:rowOff>177800</xdr:rowOff>
    </xdr:from>
    <xdr:to>
      <xdr:col>23</xdr:col>
      <xdr:colOff>381000</xdr:colOff>
      <xdr:row>60</xdr:row>
      <xdr:rowOff>152400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774700</xdr:colOff>
      <xdr:row>73</xdr:row>
      <xdr:rowOff>50800</xdr:rowOff>
    </xdr:from>
    <xdr:to>
      <xdr:col>23</xdr:col>
      <xdr:colOff>76200</xdr:colOff>
      <xdr:row>97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673100</xdr:colOff>
      <xdr:row>73</xdr:row>
      <xdr:rowOff>50800</xdr:rowOff>
    </xdr:from>
    <xdr:to>
      <xdr:col>11</xdr:col>
      <xdr:colOff>431800</xdr:colOff>
      <xdr:row>97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635000</xdr:colOff>
      <xdr:row>98</xdr:row>
      <xdr:rowOff>165100</xdr:rowOff>
    </xdr:from>
    <xdr:to>
      <xdr:col>11</xdr:col>
      <xdr:colOff>495300</xdr:colOff>
      <xdr:row>116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438150</xdr:colOff>
      <xdr:row>26</xdr:row>
      <xdr:rowOff>171450</xdr:rowOff>
    </xdr:from>
    <xdr:to>
      <xdr:col>14</xdr:col>
      <xdr:colOff>895350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91"/>
  <sheetViews>
    <sheetView showRuler="0" topLeftCell="A67" workbookViewId="0">
      <selection activeCell="O55" sqref="O55"/>
    </sheetView>
  </sheetViews>
  <sheetFormatPr defaultColWidth="11" defaultRowHeight="15.75" x14ac:dyDescent="0.25"/>
  <cols>
    <col min="3" max="3" width="12.625" customWidth="1"/>
    <col min="4" max="4" width="12.125" customWidth="1"/>
    <col min="6" max="6" width="14.375" customWidth="1"/>
    <col min="12" max="12" width="14.5" customWidth="1"/>
    <col min="13" max="13" width="14.125" customWidth="1"/>
    <col min="14" max="15" width="13.875" customWidth="1"/>
    <col min="16" max="16" width="13" customWidth="1"/>
    <col min="17" max="17" width="11.125" customWidth="1"/>
  </cols>
  <sheetData>
    <row r="8" spans="2:14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10" spans="2:14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x14ac:dyDescent="0.2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8" spans="2:13" x14ac:dyDescent="0.25">
      <c r="C18" t="s">
        <v>3</v>
      </c>
    </row>
    <row r="19" spans="2:13" x14ac:dyDescent="0.25">
      <c r="C19" t="s">
        <v>0</v>
      </c>
    </row>
    <row r="21" spans="2:13" x14ac:dyDescent="0.25">
      <c r="C21" s="35"/>
      <c r="D21" s="20"/>
      <c r="E21" s="23" t="s">
        <v>4</v>
      </c>
      <c r="F21" s="23" t="s">
        <v>25</v>
      </c>
      <c r="G21" s="23" t="s">
        <v>5</v>
      </c>
      <c r="H21" s="23" t="s">
        <v>7</v>
      </c>
      <c r="I21" s="26" t="s">
        <v>30</v>
      </c>
      <c r="J21" s="26" t="s">
        <v>29</v>
      </c>
      <c r="K21" s="26" t="s">
        <v>30</v>
      </c>
    </row>
    <row r="22" spans="2:13" x14ac:dyDescent="0.25">
      <c r="C22" s="36"/>
      <c r="D22" s="20">
        <v>2011</v>
      </c>
      <c r="E22" s="24">
        <v>4</v>
      </c>
      <c r="F22" s="24">
        <v>3</v>
      </c>
      <c r="G22" s="24">
        <v>4</v>
      </c>
      <c r="H22" s="24">
        <f t="shared" ref="H22:H30" si="0">E22+F22+G22</f>
        <v>11</v>
      </c>
      <c r="I22" s="25">
        <f t="shared" ref="I22:I29" si="1">(H22-H23)/H23</f>
        <v>3.7735849056603633E-2</v>
      </c>
      <c r="J22" s="1">
        <f t="shared" ref="J22:J30" si="2">E22*J$39+F22*I$39+G22*K$39</f>
        <v>33.14142857142857</v>
      </c>
      <c r="K22" s="25">
        <f t="shared" ref="K22:K29" si="3">(J22-J23)/J23</f>
        <v>3.9223415787917618E-2</v>
      </c>
    </row>
    <row r="23" spans="2:13" x14ac:dyDescent="0.25">
      <c r="C23" s="36" t="s">
        <v>26</v>
      </c>
      <c r="D23" s="20">
        <f t="shared" ref="D23:D30" si="4">D22-1</f>
        <v>2010</v>
      </c>
      <c r="E23" s="24">
        <v>3.9</v>
      </c>
      <c r="F23" s="24">
        <v>3</v>
      </c>
      <c r="G23" s="24">
        <v>3.7</v>
      </c>
      <c r="H23" s="24">
        <f t="shared" si="0"/>
        <v>10.600000000000001</v>
      </c>
      <c r="I23" s="25">
        <f t="shared" si="1"/>
        <v>6.0000000000000143E-2</v>
      </c>
      <c r="J23" s="1">
        <f t="shared" si="2"/>
        <v>31.890571428571427</v>
      </c>
      <c r="K23" s="25">
        <f t="shared" si="3"/>
        <v>5.7309575909138245E-2</v>
      </c>
    </row>
    <row r="24" spans="2:13" x14ac:dyDescent="0.25">
      <c r="C24" s="36"/>
      <c r="D24" s="20">
        <f t="shared" si="4"/>
        <v>2009</v>
      </c>
      <c r="E24" s="24">
        <v>3.9</v>
      </c>
      <c r="F24" s="24">
        <v>2.6</v>
      </c>
      <c r="G24" s="24">
        <v>3.5</v>
      </c>
      <c r="H24" s="24">
        <f t="shared" si="0"/>
        <v>10</v>
      </c>
      <c r="I24" s="25">
        <f t="shared" si="1"/>
        <v>0</v>
      </c>
      <c r="J24" s="1">
        <f t="shared" si="2"/>
        <v>30.161999999999999</v>
      </c>
      <c r="K24" s="25">
        <f t="shared" si="3"/>
        <v>0</v>
      </c>
    </row>
    <row r="25" spans="2:13" x14ac:dyDescent="0.25">
      <c r="C25" s="36" t="s">
        <v>27</v>
      </c>
      <c r="D25" s="20">
        <f t="shared" si="4"/>
        <v>2008</v>
      </c>
      <c r="E25" s="24">
        <v>3.9</v>
      </c>
      <c r="F25" s="24">
        <v>2.6</v>
      </c>
      <c r="G25" s="24">
        <v>3.5</v>
      </c>
      <c r="H25" s="24">
        <f t="shared" si="0"/>
        <v>10</v>
      </c>
      <c r="I25" s="25">
        <f t="shared" si="1"/>
        <v>1.0101010101010065E-2</v>
      </c>
      <c r="J25" s="1">
        <f t="shared" si="2"/>
        <v>30.161999999999999</v>
      </c>
      <c r="K25" s="25">
        <f t="shared" si="3"/>
        <v>1.0529640939244054E-2</v>
      </c>
    </row>
    <row r="26" spans="2:13" x14ac:dyDescent="0.25">
      <c r="C26" s="36"/>
      <c r="D26" s="20">
        <f t="shared" si="4"/>
        <v>2007</v>
      </c>
      <c r="E26" s="24">
        <v>3.9</v>
      </c>
      <c r="F26" s="24">
        <v>2.6</v>
      </c>
      <c r="G26" s="24">
        <v>3.4</v>
      </c>
      <c r="H26" s="24">
        <f t="shared" si="0"/>
        <v>9.9</v>
      </c>
      <c r="I26" s="25">
        <f t="shared" si="1"/>
        <v>1.0204081632653024E-2</v>
      </c>
      <c r="J26" s="1">
        <f t="shared" si="2"/>
        <v>29.847714285714282</v>
      </c>
      <c r="K26" s="25">
        <f t="shared" si="3"/>
        <v>1.064169415770987E-2</v>
      </c>
    </row>
    <row r="27" spans="2:13" x14ac:dyDescent="0.25">
      <c r="C27" s="36" t="s">
        <v>28</v>
      </c>
      <c r="D27" s="20">
        <f t="shared" si="4"/>
        <v>2006</v>
      </c>
      <c r="E27" s="24">
        <v>3.9</v>
      </c>
      <c r="F27" s="24">
        <v>2.6</v>
      </c>
      <c r="G27" s="24">
        <v>3.3</v>
      </c>
      <c r="H27" s="24">
        <f t="shared" si="0"/>
        <v>9.8000000000000007</v>
      </c>
      <c r="I27" s="25">
        <f t="shared" si="1"/>
        <v>1.0309278350515611E-2</v>
      </c>
      <c r="J27" s="1">
        <f t="shared" si="2"/>
        <v>29.533428571428569</v>
      </c>
      <c r="K27" s="25">
        <f t="shared" si="3"/>
        <v>1.0756157900397941E-2</v>
      </c>
    </row>
    <row r="28" spans="2:13" x14ac:dyDescent="0.25">
      <c r="C28" s="36"/>
      <c r="D28" s="20">
        <f t="shared" si="4"/>
        <v>2005</v>
      </c>
      <c r="E28" s="24">
        <v>3.9</v>
      </c>
      <c r="F28" s="24">
        <v>2.6</v>
      </c>
      <c r="G28" s="24">
        <v>3.2</v>
      </c>
      <c r="H28" s="24">
        <f t="shared" si="0"/>
        <v>9.6999999999999993</v>
      </c>
      <c r="I28" s="25">
        <f t="shared" si="1"/>
        <v>3.1914893617021163E-2</v>
      </c>
      <c r="J28" s="1">
        <f t="shared" si="2"/>
        <v>29.219142857142856</v>
      </c>
      <c r="K28" s="25">
        <f t="shared" si="3"/>
        <v>3.1910760863532804E-2</v>
      </c>
    </row>
    <row r="29" spans="2:13" x14ac:dyDescent="0.25">
      <c r="C29" s="36"/>
      <c r="D29" s="20">
        <f t="shared" si="4"/>
        <v>2004</v>
      </c>
      <c r="E29" s="24">
        <v>3.9</v>
      </c>
      <c r="F29" s="24">
        <v>2.5</v>
      </c>
      <c r="G29" s="24">
        <v>3</v>
      </c>
      <c r="H29" s="24">
        <f t="shared" si="0"/>
        <v>9.4</v>
      </c>
      <c r="I29" s="25">
        <f t="shared" si="1"/>
        <v>2.1739130434782726E-2</v>
      </c>
      <c r="J29" s="1">
        <f t="shared" si="2"/>
        <v>28.315571428571431</v>
      </c>
      <c r="K29" s="25">
        <f t="shared" si="3"/>
        <v>2.2702764061524668E-2</v>
      </c>
    </row>
    <row r="30" spans="2:13" x14ac:dyDescent="0.25">
      <c r="C30" s="37"/>
      <c r="D30" s="20">
        <f t="shared" si="4"/>
        <v>2003</v>
      </c>
      <c r="E30" s="24">
        <v>3.9</v>
      </c>
      <c r="F30" s="24">
        <v>2.5</v>
      </c>
      <c r="G30" s="24">
        <v>2.8</v>
      </c>
      <c r="H30" s="24">
        <f t="shared" si="0"/>
        <v>9.1999999999999993</v>
      </c>
      <c r="I30" s="20"/>
      <c r="J30" s="1">
        <f t="shared" si="2"/>
        <v>27.686999999999998</v>
      </c>
      <c r="K30" s="20"/>
    </row>
    <row r="31" spans="2:13" x14ac:dyDescent="0.25">
      <c r="B31" s="13"/>
    </row>
    <row r="32" spans="2:13" x14ac:dyDescent="0.25">
      <c r="B32" s="13"/>
      <c r="C32" s="22"/>
      <c r="D32" s="2"/>
      <c r="E32" s="2"/>
      <c r="F32" s="2"/>
      <c r="G32" s="19" t="s">
        <v>13</v>
      </c>
      <c r="H32" s="2"/>
      <c r="I32" s="2" t="s">
        <v>6</v>
      </c>
      <c r="J32" s="2" t="s">
        <v>4</v>
      </c>
      <c r="K32" s="2" t="s">
        <v>5</v>
      </c>
      <c r="L32" s="2" t="s">
        <v>7</v>
      </c>
      <c r="M32" s="20"/>
    </row>
    <row r="33" spans="2:13" x14ac:dyDescent="0.25">
      <c r="B33" s="13"/>
      <c r="C33" s="22"/>
      <c r="D33" s="3" t="s">
        <v>24</v>
      </c>
      <c r="E33" s="3"/>
      <c r="F33" s="2"/>
      <c r="G33" s="5" t="s">
        <v>14</v>
      </c>
      <c r="H33" s="5"/>
      <c r="I33" s="5" t="s">
        <v>9</v>
      </c>
      <c r="J33" s="5" t="s">
        <v>8</v>
      </c>
      <c r="K33" s="5" t="s">
        <v>10</v>
      </c>
      <c r="L33" s="3"/>
      <c r="M33" s="20"/>
    </row>
    <row r="34" spans="2:13" x14ac:dyDescent="0.25">
      <c r="B34" s="13"/>
      <c r="C34" s="22"/>
      <c r="D34" t="s">
        <v>12</v>
      </c>
      <c r="F34" s="2"/>
      <c r="G34" s="4">
        <v>1</v>
      </c>
      <c r="H34" s="4"/>
      <c r="I34" s="4">
        <v>1</v>
      </c>
      <c r="J34" s="4">
        <v>7</v>
      </c>
      <c r="K34" s="4">
        <v>75</v>
      </c>
      <c r="M34" s="20"/>
    </row>
    <row r="35" spans="2:13" x14ac:dyDescent="0.25">
      <c r="B35" s="13"/>
      <c r="C35" s="22"/>
      <c r="D35" t="s">
        <v>18</v>
      </c>
      <c r="F35" s="2"/>
      <c r="G35" s="4">
        <v>2</v>
      </c>
      <c r="H35" s="4"/>
      <c r="I35" s="4">
        <v>0</v>
      </c>
      <c r="J35" s="4">
        <v>0</v>
      </c>
      <c r="K35" s="4">
        <v>0</v>
      </c>
      <c r="M35" s="20"/>
    </row>
    <row r="36" spans="2:13" x14ac:dyDescent="0.25">
      <c r="B36" s="13"/>
      <c r="C36" s="22"/>
      <c r="D36" t="s">
        <v>19</v>
      </c>
      <c r="F36" s="2"/>
      <c r="G36" s="4">
        <v>0</v>
      </c>
      <c r="H36" s="4"/>
      <c r="I36" s="4">
        <v>4</v>
      </c>
      <c r="J36" s="4">
        <v>16</v>
      </c>
      <c r="K36" s="4">
        <v>150</v>
      </c>
      <c r="M36" s="20"/>
    </row>
    <row r="37" spans="2:13" x14ac:dyDescent="0.25">
      <c r="B37" s="13"/>
      <c r="C37" s="22"/>
      <c r="D37" t="s">
        <v>11</v>
      </c>
      <c r="F37" s="2"/>
      <c r="G37" s="5">
        <f>G34*H43+G35*H44</f>
        <v>44</v>
      </c>
      <c r="H37" s="5"/>
      <c r="I37" s="4">
        <f>I34*H43+I36*H42</f>
        <v>16</v>
      </c>
      <c r="J37" s="5">
        <f>J34*H43+J36*H42</f>
        <v>100</v>
      </c>
      <c r="K37" s="4">
        <f>K34*H43+K36*H42</f>
        <v>1050</v>
      </c>
      <c r="L37" s="4"/>
      <c r="M37" s="20"/>
    </row>
    <row r="38" spans="2:13" x14ac:dyDescent="0.25">
      <c r="B38" s="13"/>
      <c r="C38" s="22"/>
      <c r="D38" t="s">
        <v>15</v>
      </c>
      <c r="F38" s="2"/>
      <c r="G38" s="4">
        <f>G37/G34</f>
        <v>44</v>
      </c>
      <c r="H38" s="4"/>
      <c r="I38" s="4">
        <f>I37/I34</f>
        <v>16</v>
      </c>
      <c r="J38" s="4">
        <f>J37/J34</f>
        <v>14.285714285714286</v>
      </c>
      <c r="K38" s="4">
        <f>K37/K34</f>
        <v>14</v>
      </c>
      <c r="L38" s="5" t="s">
        <v>21</v>
      </c>
      <c r="M38" s="20"/>
    </row>
    <row r="39" spans="2:13" x14ac:dyDescent="0.25">
      <c r="B39" s="13"/>
      <c r="C39" s="22"/>
      <c r="D39" t="s">
        <v>23</v>
      </c>
      <c r="F39" s="2"/>
      <c r="G39" s="4"/>
      <c r="H39" s="4"/>
      <c r="I39" s="4">
        <f>$G38/I38</f>
        <v>2.75</v>
      </c>
      <c r="J39" s="4">
        <f>$G38/J38</f>
        <v>3.0799999999999996</v>
      </c>
      <c r="K39" s="4">
        <f>$G38/K38</f>
        <v>3.1428571428571428</v>
      </c>
      <c r="L39" s="4">
        <v>3</v>
      </c>
      <c r="M39" s="20"/>
    </row>
    <row r="40" spans="2:13" x14ac:dyDescent="0.25">
      <c r="B40" s="13"/>
      <c r="C40" s="22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x14ac:dyDescent="0.25">
      <c r="B41" s="13"/>
      <c r="C41" s="22"/>
      <c r="D41" s="20"/>
      <c r="E41" s="20"/>
      <c r="F41" s="20"/>
      <c r="G41" s="21" t="s">
        <v>11</v>
      </c>
      <c r="I41" s="20"/>
      <c r="J41" s="20"/>
      <c r="K41" s="20"/>
      <c r="L41" s="20"/>
      <c r="M41" s="20"/>
    </row>
    <row r="42" spans="2:13" x14ac:dyDescent="0.25">
      <c r="B42" s="13"/>
      <c r="C42" s="22"/>
      <c r="D42" s="20"/>
      <c r="E42" s="20"/>
      <c r="F42" s="20"/>
      <c r="G42" s="5" t="s">
        <v>20</v>
      </c>
      <c r="H42" s="5">
        <v>1</v>
      </c>
      <c r="I42" s="20"/>
      <c r="J42" s="20"/>
      <c r="K42" s="20"/>
      <c r="L42" s="20"/>
      <c r="M42" s="20"/>
    </row>
    <row r="43" spans="2:13" x14ac:dyDescent="0.25">
      <c r="B43" s="13"/>
      <c r="C43" s="22"/>
      <c r="D43" s="20"/>
      <c r="E43" s="20"/>
      <c r="F43" s="20"/>
      <c r="G43" s="5" t="s">
        <v>16</v>
      </c>
      <c r="H43" s="5">
        <v>12</v>
      </c>
      <c r="I43" s="20"/>
      <c r="J43" s="20"/>
      <c r="K43" s="20"/>
      <c r="L43" s="20"/>
      <c r="M43" s="20"/>
    </row>
    <row r="44" spans="2:13" x14ac:dyDescent="0.25">
      <c r="B44" s="13"/>
      <c r="C44" s="22"/>
      <c r="D44" s="20"/>
      <c r="E44" s="20"/>
      <c r="F44" s="20"/>
      <c r="G44" s="5" t="s">
        <v>17</v>
      </c>
      <c r="H44" s="5">
        <v>16</v>
      </c>
      <c r="I44" s="20"/>
      <c r="J44" s="20"/>
      <c r="K44" s="20"/>
      <c r="L44" s="20"/>
      <c r="M44" s="20"/>
    </row>
    <row r="45" spans="2:13" x14ac:dyDescent="0.25">
      <c r="B45" s="13"/>
      <c r="C45" s="22"/>
      <c r="D45" s="20"/>
      <c r="E45" s="20"/>
      <c r="F45" s="2"/>
      <c r="G45" s="2"/>
      <c r="H45" s="2"/>
      <c r="I45" s="2"/>
      <c r="J45" s="2"/>
      <c r="K45" s="2"/>
      <c r="L45" s="20"/>
      <c r="M45" s="20"/>
    </row>
    <row r="46" spans="2:13" x14ac:dyDescent="0.25">
      <c r="C46" s="4"/>
      <c r="D46" s="4"/>
      <c r="E46" s="4"/>
      <c r="F46" s="4"/>
      <c r="G46" s="4"/>
      <c r="H46" s="4"/>
    </row>
    <row r="48" spans="2:13" x14ac:dyDescent="0.25">
      <c r="C48" s="45" t="s">
        <v>45</v>
      </c>
      <c r="D48" s="46"/>
      <c r="E48" s="46"/>
      <c r="F48" s="46"/>
      <c r="G48" s="46"/>
      <c r="H48" s="47"/>
    </row>
    <row r="49" spans="1:19" x14ac:dyDescent="0.25">
      <c r="C49" s="48" t="s">
        <v>46</v>
      </c>
      <c r="D49" s="49"/>
      <c r="E49" s="49"/>
      <c r="F49" s="49"/>
      <c r="G49" s="49"/>
      <c r="H49" s="50"/>
    </row>
    <row r="50" spans="1:19" x14ac:dyDescent="0.25">
      <c r="C50" s="48" t="s">
        <v>47</v>
      </c>
      <c r="D50" s="49"/>
      <c r="E50" s="49"/>
      <c r="F50" s="49"/>
      <c r="G50" s="49"/>
      <c r="H50" s="50"/>
    </row>
    <row r="51" spans="1:19" x14ac:dyDescent="0.25">
      <c r="C51" s="51" t="s">
        <v>48</v>
      </c>
      <c r="D51" s="52"/>
      <c r="E51" s="52"/>
      <c r="F51" s="52"/>
      <c r="G51" s="52"/>
      <c r="H51" s="53"/>
    </row>
    <row r="54" spans="1:19" s="30" customFormat="1" ht="83.1" customHeight="1" x14ac:dyDescent="0.25">
      <c r="B54" s="140" t="s">
        <v>50</v>
      </c>
      <c r="C54" s="39" t="s">
        <v>89</v>
      </c>
      <c r="D54" s="136" t="s">
        <v>78</v>
      </c>
      <c r="E54" s="137" t="s">
        <v>91</v>
      </c>
      <c r="F54" s="62" t="s">
        <v>92</v>
      </c>
      <c r="G54" s="39" t="str">
        <f>'ECONOMIC MODEL'!D5</f>
        <v>Estimated HC production GROWTH rate</v>
      </c>
      <c r="H54" s="138" t="s">
        <v>84</v>
      </c>
      <c r="I54" s="139" t="s">
        <v>85</v>
      </c>
      <c r="J54" s="139" t="s">
        <v>53</v>
      </c>
      <c r="K54" s="139" t="s">
        <v>41</v>
      </c>
      <c r="L54" s="139" t="s">
        <v>52</v>
      </c>
      <c r="M54" s="139" t="s">
        <v>57</v>
      </c>
      <c r="N54" s="39" t="s">
        <v>59</v>
      </c>
      <c r="O54" s="39" t="s">
        <v>76</v>
      </c>
      <c r="P54" s="39" t="s">
        <v>83</v>
      </c>
      <c r="R54" s="32"/>
      <c r="S54" s="32"/>
    </row>
    <row r="55" spans="1:19" s="122" customFormat="1" ht="24.95" customHeight="1" x14ac:dyDescent="0.25">
      <c r="A55" s="121" t="s">
        <v>1</v>
      </c>
      <c r="B55" s="124">
        <v>2011</v>
      </c>
      <c r="C55" s="125">
        <v>0.03</v>
      </c>
      <c r="D55" s="126">
        <v>0.95</v>
      </c>
      <c r="E55" s="127">
        <v>2020</v>
      </c>
      <c r="F55" s="126">
        <v>0.6</v>
      </c>
      <c r="G55" s="128">
        <v>2.5000000000000001E-3</v>
      </c>
      <c r="H55" s="129">
        <v>120</v>
      </c>
      <c r="I55" s="129">
        <v>120</v>
      </c>
      <c r="J55" s="130">
        <v>10</v>
      </c>
      <c r="K55" s="131">
        <v>1.2</v>
      </c>
      <c r="L55" s="130">
        <v>7</v>
      </c>
      <c r="M55" s="132">
        <v>0.01</v>
      </c>
      <c r="N55" s="133">
        <f>'INPUT - OUTPUT'!$H$22</f>
        <v>11</v>
      </c>
      <c r="O55" s="134">
        <v>0.5</v>
      </c>
      <c r="P55" s="135">
        <v>0.01</v>
      </c>
      <c r="R55" s="123"/>
      <c r="S55" s="123"/>
    </row>
    <row r="56" spans="1:19" s="4" customFormat="1" x14ac:dyDescent="0.25">
      <c r="B56" s="71" t="s">
        <v>64</v>
      </c>
      <c r="C56" s="71" t="s">
        <v>56</v>
      </c>
      <c r="D56" s="71" t="s">
        <v>56</v>
      </c>
      <c r="E56" s="71" t="s">
        <v>64</v>
      </c>
      <c r="F56" s="71" t="s">
        <v>56</v>
      </c>
      <c r="G56" s="71" t="s">
        <v>56</v>
      </c>
      <c r="H56" s="71" t="s">
        <v>51</v>
      </c>
      <c r="I56" s="71" t="s">
        <v>51</v>
      </c>
      <c r="J56" s="71" t="s">
        <v>54</v>
      </c>
      <c r="K56" s="71" t="s">
        <v>55</v>
      </c>
      <c r="L56" s="71" t="s">
        <v>43</v>
      </c>
      <c r="M56" s="71" t="s">
        <v>56</v>
      </c>
      <c r="N56" s="69" t="s">
        <v>38</v>
      </c>
      <c r="O56" s="69" t="s">
        <v>38</v>
      </c>
      <c r="P56" s="72" t="s">
        <v>56</v>
      </c>
      <c r="R56"/>
      <c r="S56"/>
    </row>
    <row r="79" spans="11:11" x14ac:dyDescent="0.25">
      <c r="K79" s="85"/>
    </row>
    <row r="89" spans="13:16" ht="47.25" x14ac:dyDescent="0.25">
      <c r="M89" s="111" t="s">
        <v>88</v>
      </c>
      <c r="N89" s="112" t="s">
        <v>33</v>
      </c>
      <c r="O89" s="113" t="s">
        <v>87</v>
      </c>
      <c r="P89" s="114" t="s">
        <v>39</v>
      </c>
    </row>
    <row r="90" spans="13:16" x14ac:dyDescent="0.25">
      <c r="M90" s="115" t="s">
        <v>34</v>
      </c>
      <c r="N90" s="116" t="s">
        <v>34</v>
      </c>
      <c r="O90" s="117" t="s">
        <v>70</v>
      </c>
      <c r="P90" s="118" t="s">
        <v>70</v>
      </c>
    </row>
    <row r="91" spans="13:16" ht="18.75" x14ac:dyDescent="0.3">
      <c r="M91" s="119">
        <f>'ECONOMIC MODEL'!J70</f>
        <v>13.967208192785296</v>
      </c>
      <c r="N91" s="17">
        <f>'ECONOMIC MODEL'!K70</f>
        <v>20.920054751602944</v>
      </c>
      <c r="O91" s="76">
        <f>'ECONOMIC MODEL'!L70</f>
        <v>1676.064983134235</v>
      </c>
      <c r="P91" s="120">
        <f>'ECONOMIC MODEL'!M70</f>
        <v>2510.4065701923537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4"/>
  <sheetViews>
    <sheetView tabSelected="1" showRuler="0" topLeftCell="A2" workbookViewId="0">
      <selection activeCell="H7" sqref="H7"/>
    </sheetView>
  </sheetViews>
  <sheetFormatPr defaultColWidth="11" defaultRowHeight="15.75" x14ac:dyDescent="0.25"/>
  <cols>
    <col min="1" max="1" width="14.875" customWidth="1"/>
    <col min="2" max="2" width="11" customWidth="1"/>
    <col min="3" max="3" width="10.375" style="1" customWidth="1"/>
    <col min="4" max="4" width="13.875" customWidth="1"/>
    <col min="5" max="5" width="12.625" customWidth="1"/>
    <col min="7" max="7" width="11.625" customWidth="1"/>
    <col min="8" max="10" width="14.875" customWidth="1"/>
    <col min="11" max="12" width="11.875" customWidth="1"/>
    <col min="13" max="13" width="12.875" customWidth="1"/>
    <col min="14" max="14" width="14.375" customWidth="1"/>
    <col min="15" max="15" width="20.375" customWidth="1"/>
    <col min="16" max="18" width="13.5" customWidth="1"/>
    <col min="19" max="19" width="4.875" customWidth="1"/>
    <col min="21" max="21" width="12.125" customWidth="1"/>
    <col min="22" max="22" width="7.375" customWidth="1"/>
  </cols>
  <sheetData>
    <row r="3" spans="1:18" ht="28.5" x14ac:dyDescent="0.45">
      <c r="A3" s="7" t="s">
        <v>63</v>
      </c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5" spans="1:18" s="6" customFormat="1" ht="75" customHeight="1" x14ac:dyDescent="0.25">
      <c r="A5" s="61" t="s">
        <v>65</v>
      </c>
      <c r="B5" s="62" t="s">
        <v>62</v>
      </c>
      <c r="C5" s="62" t="s">
        <v>59</v>
      </c>
      <c r="D5" s="63" t="s">
        <v>86</v>
      </c>
      <c r="E5" s="41" t="s">
        <v>89</v>
      </c>
      <c r="F5" s="83" t="s">
        <v>78</v>
      </c>
      <c r="G5" s="62" t="s">
        <v>91</v>
      </c>
      <c r="H5" s="62" t="s">
        <v>94</v>
      </c>
      <c r="I5" s="62" t="s">
        <v>93</v>
      </c>
      <c r="J5" s="62" t="s">
        <v>92</v>
      </c>
      <c r="K5" s="3"/>
      <c r="L5" s="3"/>
      <c r="M5" s="64" t="s">
        <v>84</v>
      </c>
      <c r="N5" s="64" t="s">
        <v>85</v>
      </c>
      <c r="O5" s="64" t="s">
        <v>60</v>
      </c>
      <c r="P5" s="64" t="s">
        <v>41</v>
      </c>
      <c r="Q5" s="64" t="s">
        <v>73</v>
      </c>
      <c r="R5" s="62" t="s">
        <v>49</v>
      </c>
    </row>
    <row r="6" spans="1:18" x14ac:dyDescent="0.25">
      <c r="A6" s="58" t="s">
        <v>67</v>
      </c>
      <c r="B6" s="59">
        <f>'INPUT - OUTPUT'!$B$55</f>
        <v>2011</v>
      </c>
      <c r="C6" s="60">
        <f>'INPUT - OUTPUT'!$H$22*1000</f>
        <v>11000</v>
      </c>
      <c r="D6" s="67">
        <f>'INPUT - OUTPUT'!G55</f>
        <v>2.5000000000000001E-3</v>
      </c>
      <c r="E6" s="105">
        <f>'INPUT - OUTPUT'!C55</f>
        <v>0.03</v>
      </c>
      <c r="F6" s="106">
        <f>'INPUT - OUTPUT'!D55</f>
        <v>0.95</v>
      </c>
      <c r="G6" s="87">
        <f>'INPUT - OUTPUT'!E55</f>
        <v>2020</v>
      </c>
      <c r="H6" s="87">
        <f>'INPUT - OUTPUT'!O55</f>
        <v>0.5</v>
      </c>
      <c r="I6" s="93">
        <f>'INPUT - OUTPUT'!P55</f>
        <v>0.01</v>
      </c>
      <c r="J6" s="141">
        <f>'INPUT - OUTPUT'!F55</f>
        <v>0.6</v>
      </c>
      <c r="K6" s="58"/>
      <c r="L6" s="58" t="s">
        <v>61</v>
      </c>
      <c r="M6" s="54">
        <f>'INPUT - OUTPUT'!H55</f>
        <v>120</v>
      </c>
      <c r="N6" s="54">
        <f>'INPUT - OUTPUT'!I55</f>
        <v>120</v>
      </c>
      <c r="O6" s="55">
        <f>'INPUT - OUTPUT'!$J$55</f>
        <v>10</v>
      </c>
      <c r="P6" s="56">
        <f>'INPUT - OUTPUT'!$K$55</f>
        <v>1.2</v>
      </c>
      <c r="Q6" s="55">
        <f>'INPUT - OUTPUT'!$L$55</f>
        <v>7</v>
      </c>
      <c r="R6" s="57">
        <f>'INPUT - OUTPUT'!$M$55</f>
        <v>0.01</v>
      </c>
    </row>
    <row r="7" spans="1:18" s="4" customFormat="1" x14ac:dyDescent="0.25">
      <c r="A7" s="71"/>
      <c r="B7" s="71" t="s">
        <v>64</v>
      </c>
      <c r="C7" s="72" t="s">
        <v>58</v>
      </c>
      <c r="D7" s="71" t="s">
        <v>56</v>
      </c>
      <c r="E7" s="71" t="s">
        <v>56</v>
      </c>
      <c r="F7" s="71" t="s">
        <v>56</v>
      </c>
      <c r="G7" s="71" t="s">
        <v>64</v>
      </c>
      <c r="H7" s="69" t="s">
        <v>38</v>
      </c>
      <c r="I7" s="72" t="s">
        <v>56</v>
      </c>
      <c r="J7" s="71" t="s">
        <v>56</v>
      </c>
      <c r="K7" s="71"/>
      <c r="L7" s="71"/>
      <c r="M7" s="71"/>
      <c r="N7" s="71"/>
      <c r="O7" s="71" t="s">
        <v>40</v>
      </c>
      <c r="P7" s="71" t="s">
        <v>72</v>
      </c>
      <c r="Q7" s="71" t="s">
        <v>43</v>
      </c>
      <c r="R7" s="71" t="s">
        <v>56</v>
      </c>
    </row>
    <row r="9" spans="1:18" s="6" customFormat="1" ht="77.099999999999994" customHeight="1" x14ac:dyDescent="0.25">
      <c r="A9" s="39" t="s">
        <v>2</v>
      </c>
      <c r="B9" s="43" t="s">
        <v>31</v>
      </c>
      <c r="C9" s="91" t="s">
        <v>79</v>
      </c>
      <c r="D9" s="41" t="s">
        <v>90</v>
      </c>
      <c r="E9" s="44" t="s">
        <v>35</v>
      </c>
      <c r="F9" s="42" t="s">
        <v>82</v>
      </c>
      <c r="G9" s="90" t="s">
        <v>97</v>
      </c>
      <c r="H9" s="92" t="s">
        <v>95</v>
      </c>
      <c r="I9" s="38" t="s">
        <v>96</v>
      </c>
      <c r="J9" s="94" t="s">
        <v>88</v>
      </c>
      <c r="K9" s="95" t="s">
        <v>33</v>
      </c>
      <c r="L9" s="96" t="s">
        <v>87</v>
      </c>
      <c r="M9" s="97" t="s">
        <v>39</v>
      </c>
      <c r="N9" s="64" t="s">
        <v>60</v>
      </c>
      <c r="O9" s="65" t="s">
        <v>22</v>
      </c>
      <c r="P9" s="66"/>
      <c r="Q9" s="15" t="s">
        <v>44</v>
      </c>
    </row>
    <row r="10" spans="1:18" s="30" customFormat="1" ht="21" customHeight="1" x14ac:dyDescent="0.25">
      <c r="A10" s="27" t="s">
        <v>66</v>
      </c>
      <c r="B10" s="68" t="s">
        <v>37</v>
      </c>
      <c r="C10" s="69" t="s">
        <v>38</v>
      </c>
      <c r="D10" s="27" t="s">
        <v>36</v>
      </c>
      <c r="E10" s="27" t="s">
        <v>36</v>
      </c>
      <c r="F10" s="69" t="s">
        <v>38</v>
      </c>
      <c r="G10" s="69" t="s">
        <v>38</v>
      </c>
      <c r="H10" s="69" t="s">
        <v>38</v>
      </c>
      <c r="I10" s="69" t="s">
        <v>38</v>
      </c>
      <c r="J10" s="70" t="s">
        <v>34</v>
      </c>
      <c r="K10" s="70" t="s">
        <v>34</v>
      </c>
      <c r="L10" s="28" t="s">
        <v>70</v>
      </c>
      <c r="M10" s="28" t="s">
        <v>70</v>
      </c>
      <c r="N10" s="28" t="s">
        <v>40</v>
      </c>
      <c r="O10" s="29" t="s">
        <v>71</v>
      </c>
      <c r="P10" s="29" t="s">
        <v>43</v>
      </c>
      <c r="Q10" s="29" t="s">
        <v>74</v>
      </c>
    </row>
    <row r="11" spans="1:18" x14ac:dyDescent="0.25">
      <c r="A11" s="98">
        <v>2011</v>
      </c>
      <c r="B11" s="99">
        <f>'INPUT - OUTPUT'!N55</f>
        <v>11</v>
      </c>
      <c r="C11" s="100">
        <f>B11*'INPUT - OUTPUT'!$L$39</f>
        <v>33</v>
      </c>
      <c r="D11" s="107">
        <v>0</v>
      </c>
      <c r="E11" s="109">
        <f>(D11)</f>
        <v>0</v>
      </c>
      <c r="F11" s="100">
        <f t="shared" ref="F11:F42" si="0">MAX(C11*(1-E11),0)</f>
        <v>33</v>
      </c>
      <c r="G11" s="100">
        <f t="shared" ref="G11:G42" si="1">C11-F11</f>
        <v>0</v>
      </c>
      <c r="H11" s="84">
        <f>1</f>
        <v>1</v>
      </c>
      <c r="I11" s="110">
        <f>G11*$J$6</f>
        <v>0</v>
      </c>
      <c r="J11" s="11">
        <f t="shared" ref="J11:J26" si="2">IF(H12-H11&lt;=0,0,H12-H11)</f>
        <v>0</v>
      </c>
      <c r="K11" s="100">
        <f>I12-I11</f>
        <v>0</v>
      </c>
      <c r="L11" s="101">
        <f t="shared" ref="L11:L42" si="3">M$6*J11</f>
        <v>0</v>
      </c>
      <c r="M11" s="101">
        <f t="shared" ref="M11:M42" si="4">N$6*K11</f>
        <v>0</v>
      </c>
      <c r="N11" s="34">
        <f>K11/O$6*1000</f>
        <v>0</v>
      </c>
      <c r="O11" s="101">
        <f t="shared" ref="O11:O42" si="5">N11*P$6</f>
        <v>0</v>
      </c>
      <c r="P11" s="103">
        <f t="shared" ref="P11:P42" si="6">(Q$6*(1+$R$6)^(A11-A$11))</f>
        <v>7</v>
      </c>
      <c r="Q11" s="104">
        <f>M11/P11</f>
        <v>0</v>
      </c>
    </row>
    <row r="12" spans="1:18" x14ac:dyDescent="0.25">
      <c r="A12" s="98">
        <f t="shared" ref="A12:A43" si="7">A11+1</f>
        <v>2012</v>
      </c>
      <c r="B12" s="99">
        <f t="shared" ref="B12:B43" si="8">B11*(1+D$6)</f>
        <v>11.0275</v>
      </c>
      <c r="C12" s="100">
        <f>B12*'INPUT - OUTPUT'!$L$39</f>
        <v>33.082499999999996</v>
      </c>
      <c r="D12" s="108">
        <f>IF($G$6&gt;A11,0,SIN(3.14159*($A11-$G$6)/($A$68-$G$6))*$E$6  )</f>
        <v>0</v>
      </c>
      <c r="E12" s="102">
        <f>IF(E11+D12&gt;$F$6,$F$6,E11+D12)</f>
        <v>0</v>
      </c>
      <c r="F12" s="100">
        <f t="shared" si="0"/>
        <v>33.082499999999996</v>
      </c>
      <c r="G12" s="100">
        <f t="shared" si="1"/>
        <v>0</v>
      </c>
      <c r="H12" s="110">
        <f>H$6*(1+I$6)^(A12-A$11) +  G12*(1-$J$6)</f>
        <v>0.505</v>
      </c>
      <c r="I12" s="110">
        <f t="shared" ref="I12:I68" si="9">G12*$J$6</f>
        <v>0</v>
      </c>
      <c r="J12" s="11">
        <f t="shared" si="2"/>
        <v>5.0499999999999989E-3</v>
      </c>
      <c r="K12" s="100">
        <f>IF(I13-I12&lt;=0,0,I13-I12)</f>
        <v>0</v>
      </c>
      <c r="L12" s="101">
        <f t="shared" si="3"/>
        <v>0.60599999999999987</v>
      </c>
      <c r="M12" s="101">
        <f t="shared" si="4"/>
        <v>0</v>
      </c>
      <c r="N12" s="34">
        <f>K12/O$6*1000</f>
        <v>0</v>
      </c>
      <c r="O12" s="101">
        <f t="shared" si="5"/>
        <v>0</v>
      </c>
      <c r="P12" s="103">
        <f t="shared" si="6"/>
        <v>7.07</v>
      </c>
      <c r="Q12" s="104">
        <f t="shared" ref="Q12:Q68" si="10">M12/P12</f>
        <v>0</v>
      </c>
    </row>
    <row r="13" spans="1:18" x14ac:dyDescent="0.25">
      <c r="A13" s="98">
        <f t="shared" si="7"/>
        <v>2013</v>
      </c>
      <c r="B13" s="99">
        <f t="shared" si="8"/>
        <v>11.055068749999998</v>
      </c>
      <c r="C13" s="100">
        <f>B13*'INPUT - OUTPUT'!$L$39</f>
        <v>33.165206249999997</v>
      </c>
      <c r="D13" s="108">
        <f t="shared" ref="D13:D68" si="11">IF($G$6&gt;A12,0,SIN(3.14159*($A12-$G$6)/($A$68-$G$6))*$E$6  )</f>
        <v>0</v>
      </c>
      <c r="E13" s="102">
        <f>IF(E12+D13&gt;$F$6,$F$6,E12+D13)</f>
        <v>0</v>
      </c>
      <c r="F13" s="100">
        <f t="shared" si="0"/>
        <v>33.165206249999997</v>
      </c>
      <c r="G13" s="100">
        <f t="shared" si="1"/>
        <v>0</v>
      </c>
      <c r="H13" s="110">
        <f t="shared" ref="H13:H16" si="12">H$6*(1+I$6)^(A13-A$11) +  G13*(1-$J$6)</f>
        <v>0.51005</v>
      </c>
      <c r="I13" s="110">
        <f t="shared" si="9"/>
        <v>0</v>
      </c>
      <c r="J13" s="11">
        <f t="shared" si="2"/>
        <v>5.1004999999999523E-3</v>
      </c>
      <c r="K13" s="100">
        <f>IF(I14-I13&lt;=0,0,I14-I13)</f>
        <v>0</v>
      </c>
      <c r="L13" s="101">
        <f t="shared" si="3"/>
        <v>0.61205999999999428</v>
      </c>
      <c r="M13" s="101">
        <f t="shared" si="4"/>
        <v>0</v>
      </c>
      <c r="N13" s="34">
        <f>K13/O$6*1000+R13</f>
        <v>0</v>
      </c>
      <c r="O13" s="101">
        <f t="shared" si="5"/>
        <v>0</v>
      </c>
      <c r="P13" s="103">
        <f t="shared" si="6"/>
        <v>7.1406999999999998</v>
      </c>
      <c r="Q13" s="104">
        <f t="shared" si="10"/>
        <v>0</v>
      </c>
    </row>
    <row r="14" spans="1:18" x14ac:dyDescent="0.25">
      <c r="A14" s="98">
        <f t="shared" si="7"/>
        <v>2014</v>
      </c>
      <c r="B14" s="99">
        <f t="shared" si="8"/>
        <v>11.082706421874997</v>
      </c>
      <c r="C14" s="100">
        <f>B14*'INPUT - OUTPUT'!$L$39</f>
        <v>33.248119265624993</v>
      </c>
      <c r="D14" s="108">
        <f t="shared" si="11"/>
        <v>0</v>
      </c>
      <c r="E14" s="102">
        <f>IF(E13+D14&gt;$F$6,$F$6,E13+D14)</f>
        <v>0</v>
      </c>
      <c r="F14" s="100">
        <f t="shared" si="0"/>
        <v>33.248119265624993</v>
      </c>
      <c r="G14" s="100">
        <f t="shared" si="1"/>
        <v>0</v>
      </c>
      <c r="H14" s="110">
        <f t="shared" si="12"/>
        <v>0.51515049999999996</v>
      </c>
      <c r="I14" s="110">
        <f t="shared" si="9"/>
        <v>0</v>
      </c>
      <c r="J14" s="11">
        <f t="shared" si="2"/>
        <v>5.1515050000000562E-3</v>
      </c>
      <c r="K14" s="100">
        <f t="shared" ref="K14:K45" si="13">IF(I15-I14&lt;=0,0,I15-I14)</f>
        <v>0</v>
      </c>
      <c r="L14" s="101">
        <f t="shared" si="3"/>
        <v>0.61818060000000674</v>
      </c>
      <c r="M14" s="101">
        <f t="shared" si="4"/>
        <v>0</v>
      </c>
      <c r="N14" s="34">
        <f t="shared" ref="N14:N45" si="14">K14/O$6*1000</f>
        <v>0</v>
      </c>
      <c r="O14" s="101">
        <f t="shared" si="5"/>
        <v>0</v>
      </c>
      <c r="P14" s="103">
        <f t="shared" si="6"/>
        <v>7.2121069999999996</v>
      </c>
      <c r="Q14" s="104">
        <f t="shared" si="10"/>
        <v>0</v>
      </c>
    </row>
    <row r="15" spans="1:18" x14ac:dyDescent="0.25">
      <c r="A15" s="12">
        <f t="shared" si="7"/>
        <v>2015</v>
      </c>
      <c r="B15" s="1">
        <f t="shared" si="8"/>
        <v>11.110413187929684</v>
      </c>
      <c r="C15" s="10">
        <f>B15*'INPUT - OUTPUT'!$L$39</f>
        <v>33.331239563789055</v>
      </c>
      <c r="D15" s="108">
        <f t="shared" si="11"/>
        <v>0</v>
      </c>
      <c r="E15" s="88">
        <v>0</v>
      </c>
      <c r="F15" s="14">
        <f t="shared" si="0"/>
        <v>33.331239563789055</v>
      </c>
      <c r="G15" s="10">
        <f t="shared" si="1"/>
        <v>0</v>
      </c>
      <c r="H15" s="110">
        <f t="shared" si="12"/>
        <v>0.52030200500000001</v>
      </c>
      <c r="I15" s="110">
        <f t="shared" si="9"/>
        <v>0</v>
      </c>
      <c r="J15" s="11">
        <f t="shared" si="2"/>
        <v>5.2030200499999513E-3</v>
      </c>
      <c r="K15" s="11">
        <f t="shared" si="13"/>
        <v>0</v>
      </c>
      <c r="L15" s="73">
        <f t="shared" si="3"/>
        <v>0.62436240599999415</v>
      </c>
      <c r="M15" s="74">
        <f t="shared" si="4"/>
        <v>0</v>
      </c>
      <c r="N15" s="34">
        <f t="shared" si="14"/>
        <v>0</v>
      </c>
      <c r="O15" s="73">
        <f t="shared" si="5"/>
        <v>0</v>
      </c>
      <c r="P15" s="82">
        <f t="shared" si="6"/>
        <v>7.2842280700000002</v>
      </c>
      <c r="Q15" s="77">
        <f t="shared" si="10"/>
        <v>0</v>
      </c>
    </row>
    <row r="16" spans="1:18" x14ac:dyDescent="0.25">
      <c r="A16" s="12">
        <f t="shared" si="7"/>
        <v>2016</v>
      </c>
      <c r="B16" s="1">
        <f t="shared" si="8"/>
        <v>11.138189220899507</v>
      </c>
      <c r="C16" s="10">
        <f>B16*'INPUT - OUTPUT'!$L$39</f>
        <v>33.414567662698524</v>
      </c>
      <c r="D16" s="108">
        <f t="shared" si="11"/>
        <v>0</v>
      </c>
      <c r="E16" s="88">
        <f t="shared" ref="E16:E47" si="15">IF(E15+D16&gt;$F$6,$F$6,E15+D16)</f>
        <v>0</v>
      </c>
      <c r="F16" s="14">
        <f t="shared" si="0"/>
        <v>33.414567662698524</v>
      </c>
      <c r="G16" s="10">
        <f t="shared" si="1"/>
        <v>0</v>
      </c>
      <c r="H16" s="110">
        <f t="shared" si="12"/>
        <v>0.52550502504999996</v>
      </c>
      <c r="I16" s="110">
        <f t="shared" si="9"/>
        <v>0</v>
      </c>
      <c r="J16" s="11">
        <f t="shared" si="2"/>
        <v>0</v>
      </c>
      <c r="K16" s="11">
        <f t="shared" si="13"/>
        <v>0</v>
      </c>
      <c r="L16" s="73">
        <f t="shared" si="3"/>
        <v>0</v>
      </c>
      <c r="M16" s="74">
        <f t="shared" si="4"/>
        <v>0</v>
      </c>
      <c r="N16" s="34">
        <f t="shared" si="14"/>
        <v>0</v>
      </c>
      <c r="O16" s="73">
        <f t="shared" si="5"/>
        <v>0</v>
      </c>
      <c r="P16" s="82">
        <f t="shared" si="6"/>
        <v>7.357070350699999</v>
      </c>
      <c r="Q16" s="77">
        <f t="shared" si="10"/>
        <v>0</v>
      </c>
    </row>
    <row r="17" spans="1:18" x14ac:dyDescent="0.25">
      <c r="A17" s="12">
        <f t="shared" si="7"/>
        <v>2017</v>
      </c>
      <c r="B17" s="1">
        <f t="shared" si="8"/>
        <v>11.166034693951756</v>
      </c>
      <c r="C17" s="10">
        <f>B17*'INPUT - OUTPUT'!$L$39</f>
        <v>33.498104081855267</v>
      </c>
      <c r="D17" s="108">
        <f t="shared" si="11"/>
        <v>0</v>
      </c>
      <c r="E17" s="88">
        <f t="shared" si="15"/>
        <v>0</v>
      </c>
      <c r="F17" s="14">
        <f t="shared" si="0"/>
        <v>33.498104081855267</v>
      </c>
      <c r="G17" s="10">
        <f t="shared" si="1"/>
        <v>0</v>
      </c>
      <c r="H17" s="110">
        <f t="shared" ref="H17:H48" si="16">G17*(1-$J$6)</f>
        <v>0</v>
      </c>
      <c r="I17" s="110">
        <f t="shared" si="9"/>
        <v>0</v>
      </c>
      <c r="J17" s="11">
        <f t="shared" si="2"/>
        <v>0</v>
      </c>
      <c r="K17" s="11">
        <f t="shared" si="13"/>
        <v>0</v>
      </c>
      <c r="L17" s="73">
        <f t="shared" si="3"/>
        <v>0</v>
      </c>
      <c r="M17" s="74">
        <f t="shared" si="4"/>
        <v>0</v>
      </c>
      <c r="N17" s="34">
        <f t="shared" si="14"/>
        <v>0</v>
      </c>
      <c r="O17" s="73">
        <f t="shared" si="5"/>
        <v>0</v>
      </c>
      <c r="P17" s="82">
        <f t="shared" si="6"/>
        <v>7.4306410542070012</v>
      </c>
      <c r="Q17" s="77">
        <f t="shared" si="10"/>
        <v>0</v>
      </c>
    </row>
    <row r="18" spans="1:18" x14ac:dyDescent="0.25">
      <c r="A18" s="12">
        <f t="shared" si="7"/>
        <v>2018</v>
      </c>
      <c r="B18" s="1">
        <f t="shared" si="8"/>
        <v>11.193949780686635</v>
      </c>
      <c r="C18" s="10">
        <f>B18*'INPUT - OUTPUT'!$L$39</f>
        <v>33.581849342059904</v>
      </c>
      <c r="D18" s="108">
        <f t="shared" si="11"/>
        <v>0</v>
      </c>
      <c r="E18" s="88">
        <f t="shared" si="15"/>
        <v>0</v>
      </c>
      <c r="F18" s="14">
        <f t="shared" si="0"/>
        <v>33.581849342059904</v>
      </c>
      <c r="G18" s="10">
        <f t="shared" si="1"/>
        <v>0</v>
      </c>
      <c r="H18" s="110">
        <f t="shared" si="16"/>
        <v>0</v>
      </c>
      <c r="I18" s="110">
        <f t="shared" si="9"/>
        <v>0</v>
      </c>
      <c r="J18" s="11">
        <f t="shared" si="2"/>
        <v>0</v>
      </c>
      <c r="K18" s="11">
        <f t="shared" si="13"/>
        <v>0</v>
      </c>
      <c r="L18" s="73">
        <f t="shared" si="3"/>
        <v>0</v>
      </c>
      <c r="M18" s="74">
        <f t="shared" si="4"/>
        <v>0</v>
      </c>
      <c r="N18" s="34">
        <f t="shared" si="14"/>
        <v>0</v>
      </c>
      <c r="O18" s="73">
        <f t="shared" si="5"/>
        <v>0</v>
      </c>
      <c r="P18" s="82">
        <f t="shared" si="6"/>
        <v>7.504947464749069</v>
      </c>
      <c r="Q18" s="77">
        <f t="shared" si="10"/>
        <v>0</v>
      </c>
    </row>
    <row r="19" spans="1:18" x14ac:dyDescent="0.25">
      <c r="A19" s="12">
        <f t="shared" si="7"/>
        <v>2019</v>
      </c>
      <c r="B19" s="1">
        <f t="shared" si="8"/>
        <v>11.221934655138352</v>
      </c>
      <c r="C19" s="10">
        <f>B19*'INPUT - OUTPUT'!$L$39</f>
        <v>33.665803965415051</v>
      </c>
      <c r="D19" s="108">
        <f t="shared" si="11"/>
        <v>0</v>
      </c>
      <c r="E19" s="88">
        <f t="shared" si="15"/>
        <v>0</v>
      </c>
      <c r="F19" s="14">
        <f t="shared" si="0"/>
        <v>33.665803965415051</v>
      </c>
      <c r="G19" s="10">
        <f t="shared" si="1"/>
        <v>0</v>
      </c>
      <c r="H19" s="110">
        <f t="shared" si="16"/>
        <v>0</v>
      </c>
      <c r="I19" s="110">
        <f t="shared" si="9"/>
        <v>0</v>
      </c>
      <c r="J19" s="11">
        <f t="shared" si="2"/>
        <v>0</v>
      </c>
      <c r="K19" s="11">
        <f t="shared" si="13"/>
        <v>0</v>
      </c>
      <c r="L19" s="73">
        <f t="shared" si="3"/>
        <v>0</v>
      </c>
      <c r="M19" s="74">
        <f t="shared" si="4"/>
        <v>0</v>
      </c>
      <c r="N19" s="34">
        <f t="shared" si="14"/>
        <v>0</v>
      </c>
      <c r="O19" s="73">
        <f t="shared" si="5"/>
        <v>0</v>
      </c>
      <c r="P19" s="82">
        <f t="shared" si="6"/>
        <v>7.5799969393965618</v>
      </c>
      <c r="Q19" s="77">
        <f t="shared" si="10"/>
        <v>0</v>
      </c>
    </row>
    <row r="20" spans="1:18" x14ac:dyDescent="0.25">
      <c r="A20" s="12">
        <f t="shared" si="7"/>
        <v>2020</v>
      </c>
      <c r="B20" s="1">
        <f t="shared" si="8"/>
        <v>11.249989491776198</v>
      </c>
      <c r="C20" s="10">
        <f>B20*'INPUT - OUTPUT'!$L$39</f>
        <v>33.749968475328593</v>
      </c>
      <c r="D20" s="108">
        <f t="shared" si="11"/>
        <v>0</v>
      </c>
      <c r="E20" s="88">
        <f t="shared" si="15"/>
        <v>0</v>
      </c>
      <c r="F20" s="14">
        <f t="shared" si="0"/>
        <v>33.749968475328593</v>
      </c>
      <c r="G20" s="10">
        <f t="shared" si="1"/>
        <v>0</v>
      </c>
      <c r="H20" s="110">
        <f t="shared" si="16"/>
        <v>0</v>
      </c>
      <c r="I20" s="110">
        <f t="shared" si="9"/>
        <v>0</v>
      </c>
      <c r="J20" s="11">
        <f t="shared" si="2"/>
        <v>0</v>
      </c>
      <c r="K20" s="11">
        <f t="shared" si="13"/>
        <v>0</v>
      </c>
      <c r="L20" s="73">
        <f t="shared" si="3"/>
        <v>0</v>
      </c>
      <c r="M20" s="74">
        <f t="shared" si="4"/>
        <v>0</v>
      </c>
      <c r="N20" s="34">
        <f t="shared" si="14"/>
        <v>0</v>
      </c>
      <c r="O20" s="73">
        <f t="shared" si="5"/>
        <v>0</v>
      </c>
      <c r="P20" s="82">
        <f t="shared" si="6"/>
        <v>7.6557969087905278</v>
      </c>
      <c r="Q20" s="77">
        <f t="shared" si="10"/>
        <v>0</v>
      </c>
    </row>
    <row r="21" spans="1:18" x14ac:dyDescent="0.25">
      <c r="A21" s="12">
        <f t="shared" si="7"/>
        <v>2021</v>
      </c>
      <c r="B21" s="1">
        <f t="shared" si="8"/>
        <v>11.278114465505638</v>
      </c>
      <c r="C21" s="10">
        <f>B21*'INPUT - OUTPUT'!$L$39</f>
        <v>33.834343396516914</v>
      </c>
      <c r="D21" s="108">
        <f t="shared" si="11"/>
        <v>0</v>
      </c>
      <c r="E21" s="88">
        <f t="shared" si="15"/>
        <v>0</v>
      </c>
      <c r="F21" s="14">
        <f t="shared" si="0"/>
        <v>33.834343396516914</v>
      </c>
      <c r="G21" s="10">
        <f t="shared" si="1"/>
        <v>0</v>
      </c>
      <c r="H21" s="110">
        <f t="shared" si="16"/>
        <v>0</v>
      </c>
      <c r="I21" s="110">
        <f t="shared" si="9"/>
        <v>0</v>
      </c>
      <c r="J21" s="11">
        <f t="shared" si="2"/>
        <v>2.6620826907407039E-2</v>
      </c>
      <c r="K21" s="11">
        <f t="shared" si="13"/>
        <v>3.9931240361110551E-2</v>
      </c>
      <c r="L21" s="73">
        <f t="shared" si="3"/>
        <v>3.1944992288888447</v>
      </c>
      <c r="M21" s="74">
        <f t="shared" si="4"/>
        <v>4.7917488433332664</v>
      </c>
      <c r="N21" s="34">
        <f t="shared" si="14"/>
        <v>3.9931240361110549</v>
      </c>
      <c r="O21" s="73">
        <f t="shared" si="5"/>
        <v>4.7917488433332656</v>
      </c>
      <c r="P21" s="82">
        <f t="shared" si="6"/>
        <v>7.732354877878433</v>
      </c>
      <c r="Q21" s="77">
        <f t="shared" si="10"/>
        <v>0.61970110257639954</v>
      </c>
    </row>
    <row r="22" spans="1:18" x14ac:dyDescent="0.25">
      <c r="A22" s="12">
        <f t="shared" si="7"/>
        <v>2022</v>
      </c>
      <c r="B22" s="1">
        <f t="shared" si="8"/>
        <v>11.306309751669401</v>
      </c>
      <c r="C22" s="10">
        <f>B22*'INPUT - OUTPUT'!$L$39</f>
        <v>33.918929255008202</v>
      </c>
      <c r="D22" s="108">
        <f t="shared" si="11"/>
        <v>1.96209222196163E-3</v>
      </c>
      <c r="E22" s="88">
        <f t="shared" si="15"/>
        <v>1.96209222196163E-3</v>
      </c>
      <c r="F22" s="14">
        <f t="shared" si="0"/>
        <v>33.852377187739684</v>
      </c>
      <c r="G22" s="10">
        <f t="shared" si="1"/>
        <v>6.655206726851759E-2</v>
      </c>
      <c r="H22" s="110">
        <f t="shared" si="16"/>
        <v>2.6620826907407039E-2</v>
      </c>
      <c r="I22" s="110">
        <f t="shared" si="9"/>
        <v>3.9931240361110551E-2</v>
      </c>
      <c r="J22" s="11">
        <f t="shared" si="2"/>
        <v>5.3327030755716015E-2</v>
      </c>
      <c r="K22" s="11">
        <f t="shared" si="13"/>
        <v>7.9990546133574009E-2</v>
      </c>
      <c r="L22" s="73">
        <f t="shared" si="3"/>
        <v>6.399243690685922</v>
      </c>
      <c r="M22" s="74">
        <f t="shared" si="4"/>
        <v>9.5988655360288817</v>
      </c>
      <c r="N22" s="34">
        <f t="shared" si="14"/>
        <v>7.9990546133574014</v>
      </c>
      <c r="O22" s="73">
        <f t="shared" si="5"/>
        <v>9.5988655360288817</v>
      </c>
      <c r="P22" s="82">
        <f t="shared" si="6"/>
        <v>7.8096784266572161</v>
      </c>
      <c r="Q22" s="77">
        <f t="shared" si="10"/>
        <v>1.2290986916009925</v>
      </c>
    </row>
    <row r="23" spans="1:18" x14ac:dyDescent="0.25">
      <c r="A23" s="12">
        <f t="shared" si="7"/>
        <v>2023</v>
      </c>
      <c r="B23" s="1">
        <f t="shared" si="8"/>
        <v>11.334575526048575</v>
      </c>
      <c r="C23" s="10">
        <f>B23*'INPUT - OUTPUT'!$L$39</f>
        <v>34.003726578145724</v>
      </c>
      <c r="D23" s="108">
        <f t="shared" si="11"/>
        <v>3.9157824779915678E-3</v>
      </c>
      <c r="E23" s="88">
        <f t="shared" si="15"/>
        <v>5.8778746999531978E-3</v>
      </c>
      <c r="F23" s="14">
        <f t="shared" si="0"/>
        <v>33.803856933987916</v>
      </c>
      <c r="G23" s="10">
        <f t="shared" si="1"/>
        <v>0.19986964415780761</v>
      </c>
      <c r="H23" s="110">
        <f t="shared" si="16"/>
        <v>7.9947857663123054E-2</v>
      </c>
      <c r="I23" s="110">
        <f t="shared" si="9"/>
        <v>0.11992178649468456</v>
      </c>
      <c r="J23" s="11">
        <f t="shared" si="2"/>
        <v>8.0004392658185E-2</v>
      </c>
      <c r="K23" s="11">
        <f t="shared" si="13"/>
        <v>0.12000658898727749</v>
      </c>
      <c r="L23" s="73">
        <f t="shared" si="3"/>
        <v>9.6005271189821997</v>
      </c>
      <c r="M23" s="74">
        <f t="shared" si="4"/>
        <v>14.4007906784733</v>
      </c>
      <c r="N23" s="34">
        <f t="shared" si="14"/>
        <v>12.00065889872775</v>
      </c>
      <c r="O23" s="73">
        <f t="shared" si="5"/>
        <v>14.4007906784733</v>
      </c>
      <c r="P23" s="82">
        <f t="shared" si="6"/>
        <v>7.8877752109237882</v>
      </c>
      <c r="Q23" s="77">
        <f t="shared" si="10"/>
        <v>1.8257100758309681</v>
      </c>
    </row>
    <row r="24" spans="1:18" x14ac:dyDescent="0.25">
      <c r="A24" s="12">
        <f t="shared" si="7"/>
        <v>2024</v>
      </c>
      <c r="B24" s="1">
        <f t="shared" si="8"/>
        <v>11.362911964863695</v>
      </c>
      <c r="C24" s="10">
        <f>B24*'INPUT - OUTPUT'!$L$39</f>
        <v>34.088735894591082</v>
      </c>
      <c r="D24" s="108">
        <f t="shared" si="11"/>
        <v>5.8527047806053731E-3</v>
      </c>
      <c r="E24" s="88">
        <f t="shared" si="15"/>
        <v>1.173057948055857E-2</v>
      </c>
      <c r="F24" s="14">
        <f t="shared" si="0"/>
        <v>33.688855268787812</v>
      </c>
      <c r="G24" s="10">
        <f t="shared" si="1"/>
        <v>0.39988062580327011</v>
      </c>
      <c r="H24" s="110">
        <f t="shared" si="16"/>
        <v>0.15995225032130805</v>
      </c>
      <c r="I24" s="110">
        <f t="shared" si="9"/>
        <v>0.23992837548196205</v>
      </c>
      <c r="J24" s="11">
        <f t="shared" si="2"/>
        <v>0.10653824633017733</v>
      </c>
      <c r="K24" s="11">
        <f t="shared" si="13"/>
        <v>0.15980736949526603</v>
      </c>
      <c r="L24" s="73">
        <f t="shared" si="3"/>
        <v>12.78458955962128</v>
      </c>
      <c r="M24" s="74">
        <f t="shared" si="4"/>
        <v>19.176884339431922</v>
      </c>
      <c r="N24" s="34">
        <f t="shared" si="14"/>
        <v>15.980736949526602</v>
      </c>
      <c r="O24" s="73">
        <f t="shared" si="5"/>
        <v>19.176884339431922</v>
      </c>
      <c r="P24" s="82">
        <f t="shared" si="6"/>
        <v>7.9666529630330265</v>
      </c>
      <c r="Q24" s="77">
        <f t="shared" si="10"/>
        <v>2.4071444342331425</v>
      </c>
    </row>
    <row r="25" spans="1:18" x14ac:dyDescent="0.25">
      <c r="A25" s="12">
        <f t="shared" si="7"/>
        <v>2025</v>
      </c>
      <c r="B25" s="1">
        <f t="shared" si="8"/>
        <v>11.391319244775854</v>
      </c>
      <c r="C25" s="10">
        <f>B25*'INPUT - OUTPUT'!$L$39</f>
        <v>34.173957734327558</v>
      </c>
      <c r="D25" s="108">
        <f t="shared" si="11"/>
        <v>7.764564945148148E-3</v>
      </c>
      <c r="E25" s="88">
        <f t="shared" si="15"/>
        <v>1.9495144425706719E-2</v>
      </c>
      <c r="F25" s="14">
        <f t="shared" si="0"/>
        <v>33.507731492698845</v>
      </c>
      <c r="G25" s="10">
        <f t="shared" si="1"/>
        <v>0.66622624162871347</v>
      </c>
      <c r="H25" s="110">
        <f t="shared" si="16"/>
        <v>0.26649049665148539</v>
      </c>
      <c r="I25" s="110">
        <f t="shared" si="9"/>
        <v>0.39973574497722808</v>
      </c>
      <c r="J25" s="11">
        <f t="shared" si="2"/>
        <v>0.13281396881243102</v>
      </c>
      <c r="K25" s="11">
        <f t="shared" si="13"/>
        <v>0.19922095321864641</v>
      </c>
      <c r="L25" s="73">
        <f t="shared" si="3"/>
        <v>15.937676257491722</v>
      </c>
      <c r="M25" s="74">
        <f t="shared" si="4"/>
        <v>23.906514386237568</v>
      </c>
      <c r="N25" s="34">
        <f t="shared" si="14"/>
        <v>19.922095321864639</v>
      </c>
      <c r="O25" s="73">
        <f t="shared" si="5"/>
        <v>23.906514386237564</v>
      </c>
      <c r="P25" s="82">
        <f t="shared" si="6"/>
        <v>8.0463194926633577</v>
      </c>
      <c r="Q25" s="77">
        <f t="shared" si="10"/>
        <v>2.9711117496683488</v>
      </c>
    </row>
    <row r="26" spans="1:18" x14ac:dyDescent="0.25">
      <c r="A26" s="12">
        <f t="shared" si="7"/>
        <v>2026</v>
      </c>
      <c r="B26" s="1">
        <f t="shared" si="8"/>
        <v>11.419797542887792</v>
      </c>
      <c r="C26" s="10">
        <f>B26*'INPUT - OUTPUT'!$L$39</f>
        <v>34.259392628663377</v>
      </c>
      <c r="D26" s="108">
        <f t="shared" si="11"/>
        <v>9.6431761067065826E-3</v>
      </c>
      <c r="E26" s="88">
        <f t="shared" si="15"/>
        <v>2.9138320532413303E-2</v>
      </c>
      <c r="F26" s="14">
        <f t="shared" si="0"/>
        <v>33.261131465003587</v>
      </c>
      <c r="G26" s="10">
        <f t="shared" si="1"/>
        <v>0.9982611636597909</v>
      </c>
      <c r="H26" s="110">
        <f t="shared" si="16"/>
        <v>0.3993044654639164</v>
      </c>
      <c r="I26" s="110">
        <f t="shared" si="9"/>
        <v>0.59895669819587449</v>
      </c>
      <c r="J26" s="11">
        <f t="shared" si="2"/>
        <v>0.15871747346475329</v>
      </c>
      <c r="K26" s="11">
        <f t="shared" si="13"/>
        <v>0.23807621019712999</v>
      </c>
      <c r="L26" s="73">
        <f t="shared" si="3"/>
        <v>19.046096815770394</v>
      </c>
      <c r="M26" s="74">
        <f t="shared" si="4"/>
        <v>28.5691452236556</v>
      </c>
      <c r="N26" s="34">
        <f t="shared" si="14"/>
        <v>23.807621019713</v>
      </c>
      <c r="O26" s="73">
        <f t="shared" si="5"/>
        <v>28.5691452236556</v>
      </c>
      <c r="P26" s="82">
        <f t="shared" si="6"/>
        <v>8.1267826875899889</v>
      </c>
      <c r="Q26" s="77">
        <f t="shared" si="10"/>
        <v>3.5154311763844923</v>
      </c>
    </row>
    <row r="27" spans="1:18" x14ac:dyDescent="0.25">
      <c r="A27" s="12">
        <f t="shared" si="7"/>
        <v>2027</v>
      </c>
      <c r="B27" s="1">
        <f t="shared" si="8"/>
        <v>11.448347036745011</v>
      </c>
      <c r="C27" s="10">
        <f>B27*'INPUT - OUTPUT'!$L$39</f>
        <v>34.34504111023503</v>
      </c>
      <c r="D27" s="108">
        <f t="shared" si="11"/>
        <v>1.1480493777462193E-2</v>
      </c>
      <c r="E27" s="88">
        <f t="shared" si="15"/>
        <v>4.0618814309875496E-2</v>
      </c>
      <c r="F27" s="14">
        <f t="shared" si="0"/>
        <v>32.949986262913356</v>
      </c>
      <c r="G27" s="10">
        <f t="shared" si="1"/>
        <v>1.3950548473216742</v>
      </c>
      <c r="H27" s="110">
        <f t="shared" si="16"/>
        <v>0.55802193892866969</v>
      </c>
      <c r="I27" s="110">
        <f t="shared" si="9"/>
        <v>0.83703290839300448</v>
      </c>
      <c r="J27" s="11">
        <f t="shared" ref="J27:J68" si="17">IF(H28-H27&lt;=0,0,H28-H27)</f>
        <v>0.18413570312208094</v>
      </c>
      <c r="K27" s="11">
        <f t="shared" si="13"/>
        <v>0.2762035546831213</v>
      </c>
      <c r="L27" s="73">
        <f t="shared" si="3"/>
        <v>22.096284374649713</v>
      </c>
      <c r="M27" s="74">
        <f t="shared" si="4"/>
        <v>33.144426561974555</v>
      </c>
      <c r="N27" s="34">
        <f t="shared" si="14"/>
        <v>27.62035546831213</v>
      </c>
      <c r="O27" s="73">
        <f t="shared" si="5"/>
        <v>33.144426561974555</v>
      </c>
      <c r="P27" s="82">
        <f t="shared" si="6"/>
        <v>8.2080505144658922</v>
      </c>
      <c r="Q27" s="77">
        <f t="shared" si="10"/>
        <v>4.0380388136696679</v>
      </c>
    </row>
    <row r="28" spans="1:18" x14ac:dyDescent="0.25">
      <c r="A28" s="12">
        <f t="shared" si="7"/>
        <v>2028</v>
      </c>
      <c r="B28" s="1">
        <f t="shared" si="8"/>
        <v>11.476967904336872</v>
      </c>
      <c r="C28" s="10">
        <f>B28*'INPUT - OUTPUT'!$L$39</f>
        <v>34.430903713010615</v>
      </c>
      <c r="D28" s="108">
        <f t="shared" si="11"/>
        <v>1.3268650294365001E-2</v>
      </c>
      <c r="E28" s="88">
        <f t="shared" si="15"/>
        <v>5.3887464604240501E-2</v>
      </c>
      <c r="F28" s="14">
        <f t="shared" si="0"/>
        <v>32.575509607883738</v>
      </c>
      <c r="G28" s="10">
        <f t="shared" si="1"/>
        <v>1.8553941051268765</v>
      </c>
      <c r="H28" s="110">
        <f t="shared" si="16"/>
        <v>0.74215764205075063</v>
      </c>
      <c r="I28" s="110">
        <f t="shared" si="9"/>
        <v>1.1132364630761258</v>
      </c>
      <c r="J28" s="11">
        <f t="shared" si="17"/>
        <v>0.20895712129355959</v>
      </c>
      <c r="K28" s="11">
        <f t="shared" si="13"/>
        <v>0.31343568194033944</v>
      </c>
      <c r="L28" s="73">
        <f t="shared" si="3"/>
        <v>25.074854555227152</v>
      </c>
      <c r="M28" s="74">
        <f t="shared" si="4"/>
        <v>37.612281832840736</v>
      </c>
      <c r="N28" s="34">
        <f t="shared" si="14"/>
        <v>31.343568194033942</v>
      </c>
      <c r="O28" s="73">
        <f t="shared" si="5"/>
        <v>37.612281832840729</v>
      </c>
      <c r="P28" s="82">
        <f t="shared" si="6"/>
        <v>8.2901310196105502</v>
      </c>
      <c r="Q28" s="77">
        <f t="shared" si="10"/>
        <v>4.5369948609820243</v>
      </c>
    </row>
    <row r="29" spans="1:18" x14ac:dyDescent="0.25">
      <c r="A29" s="12">
        <f t="shared" si="7"/>
        <v>2029</v>
      </c>
      <c r="B29" s="1">
        <f t="shared" si="8"/>
        <v>11.505660324097713</v>
      </c>
      <c r="C29" s="10">
        <f>B29*'INPUT - OUTPUT'!$L$39</f>
        <v>34.51698097229314</v>
      </c>
      <c r="D29" s="108">
        <f t="shared" si="11"/>
        <v>1.499998850961767E-2</v>
      </c>
      <c r="E29" s="88">
        <f t="shared" si="15"/>
        <v>6.8887453113858174E-2</v>
      </c>
      <c r="F29" s="14">
        <f t="shared" si="0"/>
        <v>32.139194063932365</v>
      </c>
      <c r="G29" s="10">
        <f t="shared" si="1"/>
        <v>2.3777869083607754</v>
      </c>
      <c r="H29" s="110">
        <f t="shared" si="16"/>
        <v>0.95111476334431022</v>
      </c>
      <c r="I29" s="110">
        <f t="shared" si="9"/>
        <v>1.4266721450164652</v>
      </c>
      <c r="J29" s="11">
        <f t="shared" si="17"/>
        <v>0.23307219928323386</v>
      </c>
      <c r="K29" s="11">
        <f t="shared" si="13"/>
        <v>0.34960829892485057</v>
      </c>
      <c r="L29" s="73">
        <f t="shared" si="3"/>
        <v>27.968663913988063</v>
      </c>
      <c r="M29" s="74">
        <f t="shared" si="4"/>
        <v>41.952995870982065</v>
      </c>
      <c r="N29" s="34">
        <f t="shared" si="14"/>
        <v>34.960829892485059</v>
      </c>
      <c r="O29" s="73">
        <f t="shared" si="5"/>
        <v>41.952995870982072</v>
      </c>
      <c r="P29" s="82">
        <f t="shared" si="6"/>
        <v>8.3730323298066569</v>
      </c>
      <c r="Q29" s="77">
        <f t="shared" si="10"/>
        <v>5.0104901329039544</v>
      </c>
    </row>
    <row r="30" spans="1:18" x14ac:dyDescent="0.25">
      <c r="A30" s="12">
        <f t="shared" si="7"/>
        <v>2030</v>
      </c>
      <c r="B30" s="1">
        <f t="shared" si="8"/>
        <v>11.534424474907956</v>
      </c>
      <c r="C30" s="10">
        <f>B30*'INPUT - OUTPUT'!$L$39</f>
        <v>34.603273424723866</v>
      </c>
      <c r="D30" s="108">
        <f t="shared" si="11"/>
        <v>1.6667094579702571E-2</v>
      </c>
      <c r="E30" s="88">
        <f t="shared" si="15"/>
        <v>8.5554547693560745E-2</v>
      </c>
      <c r="F30" s="14">
        <f t="shared" si="0"/>
        <v>31.642806018155007</v>
      </c>
      <c r="G30" s="10">
        <f t="shared" si="1"/>
        <v>2.9604674065688599</v>
      </c>
      <c r="H30" s="110">
        <f t="shared" si="16"/>
        <v>1.1841869626275441</v>
      </c>
      <c r="I30" s="110">
        <f t="shared" si="9"/>
        <v>1.7762804439413158</v>
      </c>
      <c r="J30" s="11">
        <f t="shared" si="17"/>
        <v>0.2563738971175582</v>
      </c>
      <c r="K30" s="11">
        <f t="shared" si="13"/>
        <v>0.38456084567633719</v>
      </c>
      <c r="L30" s="73">
        <f t="shared" si="3"/>
        <v>30.764867654106986</v>
      </c>
      <c r="M30" s="74">
        <f t="shared" si="4"/>
        <v>46.147301481160461</v>
      </c>
      <c r="N30" s="34">
        <f t="shared" si="14"/>
        <v>38.456084567633717</v>
      </c>
      <c r="O30" s="73">
        <f t="shared" si="5"/>
        <v>46.147301481160461</v>
      </c>
      <c r="P30" s="82">
        <f t="shared" si="6"/>
        <v>8.4567626531047217</v>
      </c>
      <c r="Q30" s="77">
        <f t="shared" si="10"/>
        <v>5.4568519153388388</v>
      </c>
      <c r="R30" s="13"/>
    </row>
    <row r="31" spans="1:18" x14ac:dyDescent="0.25">
      <c r="A31" s="12">
        <f t="shared" si="7"/>
        <v>2031</v>
      </c>
      <c r="B31" s="1">
        <f t="shared" si="8"/>
        <v>11.563260536095225</v>
      </c>
      <c r="C31" s="10">
        <f>B31*'INPUT - OUTPUT'!$L$39</f>
        <v>34.689781608285671</v>
      </c>
      <c r="D31" s="108">
        <f t="shared" si="11"/>
        <v>1.8262829712544289E-2</v>
      </c>
      <c r="E31" s="88">
        <f t="shared" si="15"/>
        <v>0.10381737740610503</v>
      </c>
      <c r="F31" s="14">
        <f t="shared" si="0"/>
        <v>31.088379458922915</v>
      </c>
      <c r="G31" s="10">
        <f t="shared" si="1"/>
        <v>3.6014021493627553</v>
      </c>
      <c r="H31" s="110">
        <f t="shared" si="16"/>
        <v>1.4405608597451023</v>
      </c>
      <c r="I31" s="110">
        <f t="shared" si="9"/>
        <v>2.160841289617653</v>
      </c>
      <c r="J31" s="11">
        <f t="shared" si="17"/>
        <v>0.27875813618139333</v>
      </c>
      <c r="K31" s="11">
        <f t="shared" si="13"/>
        <v>0.41813720427209011</v>
      </c>
      <c r="L31" s="73">
        <f t="shared" si="3"/>
        <v>33.450976341767202</v>
      </c>
      <c r="M31" s="74">
        <f t="shared" si="4"/>
        <v>50.17646451265081</v>
      </c>
      <c r="N31" s="34">
        <f t="shared" si="14"/>
        <v>41.813720427209013</v>
      </c>
      <c r="O31" s="73">
        <f t="shared" si="5"/>
        <v>50.176464512650817</v>
      </c>
      <c r="P31" s="82">
        <f t="shared" si="6"/>
        <v>8.5413302796357691</v>
      </c>
      <c r="Q31" s="77">
        <f t="shared" si="10"/>
        <v>5.8745491474883584</v>
      </c>
      <c r="R31" s="13"/>
    </row>
    <row r="32" spans="1:18" x14ac:dyDescent="0.25">
      <c r="A32" s="12">
        <f t="shared" si="7"/>
        <v>2032</v>
      </c>
      <c r="B32" s="1">
        <f t="shared" si="8"/>
        <v>11.592168687435462</v>
      </c>
      <c r="C32" s="10">
        <f>B32*'INPUT - OUTPUT'!$L$39</f>
        <v>34.776506062306389</v>
      </c>
      <c r="D32" s="108">
        <f t="shared" si="11"/>
        <v>1.9780360736861638E-2</v>
      </c>
      <c r="E32" s="88">
        <f t="shared" si="15"/>
        <v>0.12359773814296666</v>
      </c>
      <c r="F32" s="14">
        <f t="shared" si="0"/>
        <v>30.47820857249015</v>
      </c>
      <c r="G32" s="10">
        <f t="shared" si="1"/>
        <v>4.2982974898162389</v>
      </c>
      <c r="H32" s="110">
        <f t="shared" si="16"/>
        <v>1.7193189959264956</v>
      </c>
      <c r="I32" s="110">
        <f t="shared" si="9"/>
        <v>2.5789784938897431</v>
      </c>
      <c r="J32" s="11">
        <f t="shared" si="17"/>
        <v>0.30012426148889237</v>
      </c>
      <c r="K32" s="11">
        <f t="shared" si="13"/>
        <v>0.45018639223333867</v>
      </c>
      <c r="L32" s="73">
        <f t="shared" si="3"/>
        <v>36.014911378667087</v>
      </c>
      <c r="M32" s="74">
        <f t="shared" si="4"/>
        <v>54.022367068000641</v>
      </c>
      <c r="N32" s="34">
        <f t="shared" si="14"/>
        <v>45.018639223333864</v>
      </c>
      <c r="O32" s="73">
        <f t="shared" si="5"/>
        <v>54.022367068000634</v>
      </c>
      <c r="P32" s="82">
        <f t="shared" si="6"/>
        <v>8.6267435824321268</v>
      </c>
      <c r="Q32" s="77">
        <f t="shared" si="10"/>
        <v>6.2621969172717877</v>
      </c>
      <c r="R32" s="13"/>
    </row>
    <row r="33" spans="1:25" x14ac:dyDescent="0.25">
      <c r="A33" s="12">
        <f t="shared" si="7"/>
        <v>2033</v>
      </c>
      <c r="B33" s="1">
        <f t="shared" si="8"/>
        <v>11.62114910915405</v>
      </c>
      <c r="C33" s="10">
        <f>B33*'INPUT - OUTPUT'!$L$39</f>
        <v>34.863447327462154</v>
      </c>
      <c r="D33" s="108">
        <f t="shared" si="11"/>
        <v>2.1213189362806723E-2</v>
      </c>
      <c r="E33" s="88">
        <f t="shared" si="15"/>
        <v>0.1448109275057734</v>
      </c>
      <c r="F33" s="14">
        <f t="shared" si="0"/>
        <v>29.814839183923684</v>
      </c>
      <c r="G33" s="10">
        <f t="shared" si="1"/>
        <v>5.0486081435384698</v>
      </c>
      <c r="H33" s="110">
        <f t="shared" si="16"/>
        <v>2.019443257415388</v>
      </c>
      <c r="I33" s="110">
        <f t="shared" si="9"/>
        <v>3.0291648861230818</v>
      </c>
      <c r="J33" s="11">
        <f t="shared" si="17"/>
        <v>0.32037549155012934</v>
      </c>
      <c r="K33" s="11">
        <f t="shared" si="13"/>
        <v>0.48056323732519379</v>
      </c>
      <c r="L33" s="73">
        <f t="shared" si="3"/>
        <v>38.445058986015525</v>
      </c>
      <c r="M33" s="74">
        <f t="shared" si="4"/>
        <v>57.667588479023252</v>
      </c>
      <c r="N33" s="34">
        <f t="shared" si="14"/>
        <v>48.056323732519374</v>
      </c>
      <c r="O33" s="73">
        <f t="shared" si="5"/>
        <v>57.667588479023244</v>
      </c>
      <c r="P33" s="82">
        <f t="shared" si="6"/>
        <v>8.7130110182564486</v>
      </c>
      <c r="Q33" s="77">
        <f t="shared" si="10"/>
        <v>6.6185602609926519</v>
      </c>
      <c r="R33" s="13"/>
    </row>
    <row r="34" spans="1:25" x14ac:dyDescent="0.25">
      <c r="A34" s="12">
        <f t="shared" si="7"/>
        <v>2034</v>
      </c>
      <c r="B34" s="1">
        <f t="shared" si="8"/>
        <v>11.650201981926935</v>
      </c>
      <c r="C34" s="10">
        <f>B34*'INPUT - OUTPUT'!$L$39</f>
        <v>34.950605945780808</v>
      </c>
      <c r="D34" s="108">
        <f t="shared" si="11"/>
        <v>2.2555180008592728E-2</v>
      </c>
      <c r="E34" s="88">
        <f t="shared" si="15"/>
        <v>0.16736610751436612</v>
      </c>
      <c r="F34" s="14">
        <f t="shared" si="0"/>
        <v>29.101059073367015</v>
      </c>
      <c r="G34" s="10">
        <f t="shared" si="1"/>
        <v>5.8495468724137929</v>
      </c>
      <c r="H34" s="110">
        <f t="shared" si="16"/>
        <v>2.3398187489655173</v>
      </c>
      <c r="I34" s="110">
        <f t="shared" si="9"/>
        <v>3.5097281234482756</v>
      </c>
      <c r="J34" s="11">
        <f t="shared" si="17"/>
        <v>0.33941935383730604</v>
      </c>
      <c r="K34" s="11">
        <f t="shared" si="13"/>
        <v>0.50912903075595928</v>
      </c>
      <c r="L34" s="73">
        <f t="shared" si="3"/>
        <v>40.730322460476728</v>
      </c>
      <c r="M34" s="74">
        <f t="shared" si="4"/>
        <v>61.095483690715113</v>
      </c>
      <c r="N34" s="34">
        <f t="shared" si="14"/>
        <v>50.912903075595928</v>
      </c>
      <c r="O34" s="73">
        <f t="shared" si="5"/>
        <v>61.095483690715113</v>
      </c>
      <c r="P34" s="82">
        <f t="shared" si="6"/>
        <v>8.8001411284390123</v>
      </c>
      <c r="Q34" s="77">
        <f t="shared" si="10"/>
        <v>6.9425572611870559</v>
      </c>
      <c r="R34" s="13"/>
    </row>
    <row r="35" spans="1:25" x14ac:dyDescent="0.25">
      <c r="A35" s="12">
        <f t="shared" si="7"/>
        <v>2035</v>
      </c>
      <c r="B35" s="1">
        <f t="shared" si="8"/>
        <v>11.679327486881752</v>
      </c>
      <c r="C35" s="10">
        <f>B35*'INPUT - OUTPUT'!$L$39</f>
        <v>35.037982460645253</v>
      </c>
      <c r="D35" s="108">
        <f t="shared" si="11"/>
        <v>2.3800586073952672E-2</v>
      </c>
      <c r="E35" s="88">
        <f t="shared" si="15"/>
        <v>0.19116669358831878</v>
      </c>
      <c r="F35" s="14">
        <f t="shared" si="0"/>
        <v>28.339887203638195</v>
      </c>
      <c r="G35" s="10">
        <f t="shared" si="1"/>
        <v>6.6980952570070578</v>
      </c>
      <c r="H35" s="110">
        <f t="shared" si="16"/>
        <v>2.6792381028028234</v>
      </c>
      <c r="I35" s="110">
        <f t="shared" si="9"/>
        <v>4.0188571542042348</v>
      </c>
      <c r="J35" s="11">
        <f t="shared" si="17"/>
        <v>0.35716810390636899</v>
      </c>
      <c r="K35" s="11">
        <f t="shared" si="13"/>
        <v>0.53575215585955327</v>
      </c>
      <c r="L35" s="73">
        <f t="shared" si="3"/>
        <v>42.860172468764276</v>
      </c>
      <c r="M35" s="74">
        <f t="shared" si="4"/>
        <v>64.290258703146392</v>
      </c>
      <c r="N35" s="34">
        <f t="shared" si="14"/>
        <v>53.575215585955327</v>
      </c>
      <c r="O35" s="73">
        <f t="shared" si="5"/>
        <v>64.290258703146392</v>
      </c>
      <c r="P35" s="82">
        <f t="shared" si="6"/>
        <v>8.888142539723404</v>
      </c>
      <c r="Q35" s="77">
        <f t="shared" si="10"/>
        <v>7.2332614397008852</v>
      </c>
      <c r="R35" s="13"/>
    </row>
    <row r="36" spans="1:25" x14ac:dyDescent="0.25">
      <c r="A36" s="12">
        <f t="shared" si="7"/>
        <v>2036</v>
      </c>
      <c r="B36" s="1">
        <f t="shared" si="8"/>
        <v>11.708525805598955</v>
      </c>
      <c r="C36" s="10">
        <f>B36*'INPUT - OUTPUT'!$L$39</f>
        <v>35.125577416796865</v>
      </c>
      <c r="D36" s="108">
        <f t="shared" si="11"/>
        <v>2.4944074547922468E-2</v>
      </c>
      <c r="E36" s="88">
        <f t="shared" si="15"/>
        <v>0.21611076813624125</v>
      </c>
      <c r="F36" s="14">
        <f t="shared" si="0"/>
        <v>27.534561900023885</v>
      </c>
      <c r="G36" s="10">
        <f t="shared" si="1"/>
        <v>7.5910155167729805</v>
      </c>
      <c r="H36" s="110">
        <f t="shared" si="16"/>
        <v>3.0364062067091924</v>
      </c>
      <c r="I36" s="110">
        <f t="shared" si="9"/>
        <v>4.5546093100637881</v>
      </c>
      <c r="J36" s="11">
        <f t="shared" si="17"/>
        <v>0.37353912629032049</v>
      </c>
      <c r="K36" s="11">
        <f t="shared" si="13"/>
        <v>0.56030868943548118</v>
      </c>
      <c r="L36" s="73">
        <f t="shared" si="3"/>
        <v>44.824695154838459</v>
      </c>
      <c r="M36" s="74">
        <f t="shared" si="4"/>
        <v>67.237042732257748</v>
      </c>
      <c r="N36" s="34">
        <f t="shared" si="14"/>
        <v>56.030868943548121</v>
      </c>
      <c r="O36" s="73">
        <f t="shared" si="5"/>
        <v>67.237042732257748</v>
      </c>
      <c r="P36" s="82">
        <f t="shared" si="6"/>
        <v>8.9770239651206403</v>
      </c>
      <c r="Q36" s="77">
        <f t="shared" si="10"/>
        <v>7.4899034461198708</v>
      </c>
      <c r="R36" s="13"/>
    </row>
    <row r="37" spans="1:25" x14ac:dyDescent="0.25">
      <c r="A37" s="12">
        <f t="shared" si="7"/>
        <v>2037</v>
      </c>
      <c r="B37" s="1">
        <f t="shared" si="8"/>
        <v>11.737797120112951</v>
      </c>
      <c r="C37" s="10">
        <f>B37*'INPUT - OUTPUT'!$L$39</f>
        <v>35.213391360338854</v>
      </c>
      <c r="D37" s="108">
        <f t="shared" si="11"/>
        <v>2.5980748845574025E-2</v>
      </c>
      <c r="E37" s="88">
        <f t="shared" si="15"/>
        <v>0.24209151698181527</v>
      </c>
      <c r="F37" s="14">
        <f t="shared" si="0"/>
        <v>26.688528027840071</v>
      </c>
      <c r="G37" s="10">
        <f t="shared" si="1"/>
        <v>8.5248633324987821</v>
      </c>
      <c r="H37" s="110">
        <f t="shared" si="16"/>
        <v>3.4099453329995129</v>
      </c>
      <c r="I37" s="110">
        <f t="shared" si="9"/>
        <v>5.1149179994992693</v>
      </c>
      <c r="J37" s="11">
        <f t="shared" si="17"/>
        <v>0.38845531534953626</v>
      </c>
      <c r="K37" s="11">
        <f t="shared" si="13"/>
        <v>0.58268297302430394</v>
      </c>
      <c r="L37" s="73">
        <f t="shared" si="3"/>
        <v>46.614637841944351</v>
      </c>
      <c r="M37" s="74">
        <f t="shared" si="4"/>
        <v>69.921956762916466</v>
      </c>
      <c r="N37" s="34">
        <f t="shared" si="14"/>
        <v>58.268297302430398</v>
      </c>
      <c r="O37" s="73">
        <f t="shared" si="5"/>
        <v>69.92195676291648</v>
      </c>
      <c r="P37" s="82">
        <f t="shared" si="6"/>
        <v>9.0667942047718455</v>
      </c>
      <c r="Q37" s="77">
        <f t="shared" si="10"/>
        <v>7.7118720447097608</v>
      </c>
      <c r="R37" s="13"/>
    </row>
    <row r="38" spans="1:25" x14ac:dyDescent="0.25">
      <c r="A38" s="12">
        <f t="shared" si="7"/>
        <v>2038</v>
      </c>
      <c r="B38" s="1">
        <f t="shared" si="8"/>
        <v>11.767141612913234</v>
      </c>
      <c r="C38" s="10">
        <f>B38*'INPUT - OUTPUT'!$L$39</f>
        <v>35.301424838739699</v>
      </c>
      <c r="D38" s="108">
        <f t="shared" si="11"/>
        <v>2.6906169775908255E-2</v>
      </c>
      <c r="E38" s="88">
        <f t="shared" si="15"/>
        <v>0.26899768675772351</v>
      </c>
      <c r="F38" s="14">
        <f t="shared" si="0"/>
        <v>25.805423217867077</v>
      </c>
      <c r="G38" s="10">
        <f t="shared" si="1"/>
        <v>9.4960016208726223</v>
      </c>
      <c r="H38" s="110">
        <f t="shared" si="16"/>
        <v>3.7984006483490491</v>
      </c>
      <c r="I38" s="110">
        <f t="shared" si="9"/>
        <v>5.6976009725235732</v>
      </c>
      <c r="J38" s="11">
        <f t="shared" si="17"/>
        <v>0.40184543434138398</v>
      </c>
      <c r="K38" s="11">
        <f t="shared" si="13"/>
        <v>0.60276815151207508</v>
      </c>
      <c r="L38" s="73">
        <f t="shared" si="3"/>
        <v>48.221452120966077</v>
      </c>
      <c r="M38" s="74">
        <f t="shared" si="4"/>
        <v>72.332178181449009</v>
      </c>
      <c r="N38" s="34">
        <f t="shared" si="14"/>
        <v>60.276815151207508</v>
      </c>
      <c r="O38" s="73">
        <f t="shared" si="5"/>
        <v>72.332178181449009</v>
      </c>
      <c r="P38" s="82">
        <f t="shared" si="6"/>
        <v>9.1574621468195616</v>
      </c>
      <c r="Q38" s="77">
        <f t="shared" si="10"/>
        <v>7.8987144059962491</v>
      </c>
      <c r="R38" s="13"/>
    </row>
    <row r="39" spans="1:25" x14ac:dyDescent="0.25">
      <c r="A39" s="12">
        <f t="shared" si="7"/>
        <v>2039</v>
      </c>
      <c r="B39" s="1">
        <f t="shared" si="8"/>
        <v>11.796559466945515</v>
      </c>
      <c r="C39" s="10">
        <f>B39*'INPUT - OUTPUT'!$L$39</f>
        <v>35.389678400836544</v>
      </c>
      <c r="D39" s="108">
        <f t="shared" si="11"/>
        <v>2.7716374551120318E-2</v>
      </c>
      <c r="E39" s="88">
        <f t="shared" si="15"/>
        <v>0.29671406130884381</v>
      </c>
      <c r="F39" s="14">
        <f t="shared" si="0"/>
        <v>24.889063194110463</v>
      </c>
      <c r="G39" s="10">
        <f t="shared" si="1"/>
        <v>10.500615206726081</v>
      </c>
      <c r="H39" s="110">
        <f t="shared" si="16"/>
        <v>4.2002460826904331</v>
      </c>
      <c r="I39" s="110">
        <f t="shared" si="9"/>
        <v>6.3003691240356483</v>
      </c>
      <c r="J39" s="11">
        <f t="shared" si="17"/>
        <v>0.41364445105646652</v>
      </c>
      <c r="K39" s="11">
        <f t="shared" si="13"/>
        <v>0.62046667658470156</v>
      </c>
      <c r="L39" s="73">
        <f t="shared" si="3"/>
        <v>49.637334126775983</v>
      </c>
      <c r="M39" s="74">
        <f t="shared" si="4"/>
        <v>74.456001190164187</v>
      </c>
      <c r="N39" s="34">
        <f t="shared" si="14"/>
        <v>62.046667658470156</v>
      </c>
      <c r="O39" s="73">
        <f t="shared" si="5"/>
        <v>74.456001190164187</v>
      </c>
      <c r="P39" s="82">
        <f t="shared" si="6"/>
        <v>9.2490367682877572</v>
      </c>
      <c r="Q39" s="77">
        <f t="shared" si="10"/>
        <v>8.0501357120183634</v>
      </c>
      <c r="R39" s="13"/>
    </row>
    <row r="40" spans="1:25" x14ac:dyDescent="0.25">
      <c r="A40" s="12">
        <f t="shared" si="7"/>
        <v>2040</v>
      </c>
      <c r="B40" s="1">
        <f t="shared" si="8"/>
        <v>11.826050865612878</v>
      </c>
      <c r="C40" s="10">
        <f>B40*'INPUT - OUTPUT'!$L$39</f>
        <v>35.478152596838633</v>
      </c>
      <c r="D40" s="108">
        <f t="shared" si="11"/>
        <v>2.8407893755836747E-2</v>
      </c>
      <c r="E40" s="88">
        <f t="shared" si="15"/>
        <v>0.32512195506468056</v>
      </c>
      <c r="F40" s="14">
        <f t="shared" si="0"/>
        <v>23.943426262471384</v>
      </c>
      <c r="G40" s="10">
        <f t="shared" si="1"/>
        <v>11.534726334367249</v>
      </c>
      <c r="H40" s="110">
        <f t="shared" si="16"/>
        <v>4.6138905337468996</v>
      </c>
      <c r="I40" s="110">
        <f t="shared" si="9"/>
        <v>6.9208358006203499</v>
      </c>
      <c r="J40" s="11">
        <f t="shared" si="17"/>
        <v>0.42379384846123447</v>
      </c>
      <c r="K40" s="11">
        <f t="shared" si="13"/>
        <v>0.63569077269185126</v>
      </c>
      <c r="L40" s="73">
        <f t="shared" si="3"/>
        <v>50.855261815348136</v>
      </c>
      <c r="M40" s="74">
        <f t="shared" si="4"/>
        <v>76.282892723022144</v>
      </c>
      <c r="N40" s="34">
        <f t="shared" si="14"/>
        <v>63.569077269185122</v>
      </c>
      <c r="O40" s="73">
        <f t="shared" si="5"/>
        <v>76.282892723022144</v>
      </c>
      <c r="P40" s="82">
        <f t="shared" si="6"/>
        <v>9.3415271359706367</v>
      </c>
      <c r="Q40" s="77">
        <f t="shared" si="10"/>
        <v>8.1659980871099744</v>
      </c>
      <c r="R40" s="13"/>
    </row>
    <row r="41" spans="1:25" x14ac:dyDescent="0.25">
      <c r="A41" s="12">
        <f t="shared" si="7"/>
        <v>2041</v>
      </c>
      <c r="B41" s="1">
        <f t="shared" si="8"/>
        <v>11.85561599277691</v>
      </c>
      <c r="C41" s="10">
        <f>B41*'INPUT - OUTPUT'!$L$39</f>
        <v>35.566847978330728</v>
      </c>
      <c r="D41" s="108">
        <f t="shared" si="11"/>
        <v>2.8977766203659629E-2</v>
      </c>
      <c r="E41" s="88">
        <f t="shared" si="15"/>
        <v>0.35409972126834016</v>
      </c>
      <c r="F41" s="14">
        <f t="shared" si="0"/>
        <v>22.972637022810392</v>
      </c>
      <c r="G41" s="10">
        <f t="shared" si="1"/>
        <v>12.594210955520335</v>
      </c>
      <c r="H41" s="110">
        <f t="shared" si="16"/>
        <v>5.0376843822081341</v>
      </c>
      <c r="I41" s="110">
        <f t="shared" si="9"/>
        <v>7.5565265733122011</v>
      </c>
      <c r="J41" s="11">
        <f t="shared" si="17"/>
        <v>0.43224190888633185</v>
      </c>
      <c r="K41" s="11">
        <f t="shared" si="13"/>
        <v>0.64836286332949733</v>
      </c>
      <c r="L41" s="73">
        <f t="shared" si="3"/>
        <v>51.869029066359822</v>
      </c>
      <c r="M41" s="74">
        <f t="shared" si="4"/>
        <v>77.80354359953968</v>
      </c>
      <c r="N41" s="34">
        <f t="shared" si="14"/>
        <v>64.836286332949726</v>
      </c>
      <c r="O41" s="73">
        <f t="shared" si="5"/>
        <v>77.803543599539665</v>
      </c>
      <c r="P41" s="82">
        <f t="shared" si="6"/>
        <v>9.4349424073303432</v>
      </c>
      <c r="Q41" s="77">
        <f t="shared" si="10"/>
        <v>8.2463188687925992</v>
      </c>
      <c r="R41" s="13"/>
    </row>
    <row r="42" spans="1:25" x14ac:dyDescent="0.25">
      <c r="A42" s="12">
        <f t="shared" si="7"/>
        <v>2042</v>
      </c>
      <c r="B42" s="1">
        <f t="shared" si="8"/>
        <v>11.885255032758851</v>
      </c>
      <c r="C42" s="10">
        <f>B42*'INPUT - OUTPUT'!$L$39</f>
        <v>35.655765098276554</v>
      </c>
      <c r="D42" s="108">
        <f t="shared" si="11"/>
        <v>2.9423551617399936E-2</v>
      </c>
      <c r="E42" s="88">
        <f t="shared" si="15"/>
        <v>0.38352327288574012</v>
      </c>
      <c r="F42" s="14">
        <f t="shared" si="0"/>
        <v>21.98094937054039</v>
      </c>
      <c r="G42" s="10">
        <f t="shared" si="1"/>
        <v>13.674815727736163</v>
      </c>
      <c r="H42" s="110">
        <f t="shared" si="16"/>
        <v>5.4699262910944659</v>
      </c>
      <c r="I42" s="110">
        <f t="shared" si="9"/>
        <v>8.2048894366416985</v>
      </c>
      <c r="J42" s="11">
        <f t="shared" si="17"/>
        <v>0.438943970406517</v>
      </c>
      <c r="K42" s="11">
        <f t="shared" si="13"/>
        <v>0.65841595560977417</v>
      </c>
      <c r="L42" s="73">
        <f t="shared" si="3"/>
        <v>52.67327644878204</v>
      </c>
      <c r="M42" s="74">
        <f t="shared" si="4"/>
        <v>79.009914673172901</v>
      </c>
      <c r="N42" s="34">
        <f t="shared" si="14"/>
        <v>65.841595560977424</v>
      </c>
      <c r="O42" s="73">
        <f t="shared" si="5"/>
        <v>79.009914673172901</v>
      </c>
      <c r="P42" s="82">
        <f t="shared" si="6"/>
        <v>9.5292918314036434</v>
      </c>
      <c r="Q42" s="77">
        <f t="shared" si="10"/>
        <v>8.2912682359875749</v>
      </c>
      <c r="R42" s="13"/>
    </row>
    <row r="43" spans="1:25" x14ac:dyDescent="0.25">
      <c r="A43" s="12">
        <f t="shared" si="7"/>
        <v>2043</v>
      </c>
      <c r="B43" s="1">
        <f t="shared" si="8"/>
        <v>11.914968170340748</v>
      </c>
      <c r="C43" s="10">
        <f>B43*'INPUT - OUTPUT'!$L$39</f>
        <v>35.744904511022241</v>
      </c>
      <c r="D43" s="108">
        <f t="shared" si="11"/>
        <v>2.9743341078701455E-2</v>
      </c>
      <c r="E43" s="88">
        <f t="shared" si="15"/>
        <v>0.41326661396444159</v>
      </c>
      <c r="F43" s="14">
        <f t="shared" ref="F43:F74" si="18">MAX(C43*(1-E43),0)</f>
        <v>20.972728857269786</v>
      </c>
      <c r="G43" s="10">
        <f t="shared" ref="G43:G74" si="19">C43-F43</f>
        <v>14.772175653752456</v>
      </c>
      <c r="H43" s="110">
        <f t="shared" si="16"/>
        <v>5.9088702615009829</v>
      </c>
      <c r="I43" s="110">
        <f t="shared" si="9"/>
        <v>8.8633053922514726</v>
      </c>
      <c r="J43" s="11">
        <f t="shared" si="17"/>
        <v>0.4438626541707329</v>
      </c>
      <c r="K43" s="11">
        <f t="shared" si="13"/>
        <v>0.66579398125610112</v>
      </c>
      <c r="L43" s="73">
        <f t="shared" ref="L43:L74" si="20">M$6*J43</f>
        <v>53.263518500487947</v>
      </c>
      <c r="M43" s="74">
        <f t="shared" ref="M43:M74" si="21">N$6*K43</f>
        <v>79.895277750732134</v>
      </c>
      <c r="N43" s="34">
        <f t="shared" si="14"/>
        <v>66.579398125610112</v>
      </c>
      <c r="O43" s="73">
        <f t="shared" ref="O43:O74" si="22">N43*P$6</f>
        <v>79.895277750732134</v>
      </c>
      <c r="P43" s="82">
        <f t="shared" ref="P43:P74" si="23">(Q$6*(1+$R$6)^(A43-A$11))</f>
        <v>9.624584749717684</v>
      </c>
      <c r="Q43" s="77">
        <f t="shared" si="10"/>
        <v>8.3011662142697311</v>
      </c>
      <c r="R43" s="13"/>
    </row>
    <row r="44" spans="1:25" x14ac:dyDescent="0.25">
      <c r="A44" s="12">
        <f t="shared" ref="A44:A68" si="24">A43+1</f>
        <v>2044</v>
      </c>
      <c r="B44" s="1">
        <f t="shared" ref="B44:B68" si="25">B43*(1+D$6)</f>
        <v>11.944755590766599</v>
      </c>
      <c r="C44" s="10">
        <f>B44*'INPUT - OUTPUT'!$L$39</f>
        <v>35.834266772299799</v>
      </c>
      <c r="D44" s="108">
        <f t="shared" si="11"/>
        <v>2.9935765202308433E-2</v>
      </c>
      <c r="E44" s="88">
        <f t="shared" si="15"/>
        <v>0.44320237916675004</v>
      </c>
      <c r="F44" s="14">
        <f t="shared" si="18"/>
        <v>19.952434483120509</v>
      </c>
      <c r="G44" s="10">
        <f t="shared" si="19"/>
        <v>15.88183228917929</v>
      </c>
      <c r="H44" s="110">
        <f t="shared" si="16"/>
        <v>6.3527329156717158</v>
      </c>
      <c r="I44" s="110">
        <f t="shared" si="9"/>
        <v>9.5290993735075737</v>
      </c>
      <c r="J44" s="11">
        <f t="shared" si="17"/>
        <v>0.44696806155956548</v>
      </c>
      <c r="K44" s="11">
        <f t="shared" si="13"/>
        <v>0.67045209233934777</v>
      </c>
      <c r="L44" s="73">
        <f t="shared" si="20"/>
        <v>53.636167387147857</v>
      </c>
      <c r="M44" s="74">
        <f t="shared" si="21"/>
        <v>80.454251080721733</v>
      </c>
      <c r="N44" s="34">
        <f t="shared" si="14"/>
        <v>67.045209233934784</v>
      </c>
      <c r="O44" s="73">
        <f t="shared" si="22"/>
        <v>80.454251080721733</v>
      </c>
      <c r="P44" s="82">
        <f t="shared" si="23"/>
        <v>9.7208305972148601</v>
      </c>
      <c r="Q44" s="77">
        <f t="shared" si="10"/>
        <v>8.2764790802725106</v>
      </c>
      <c r="R44" s="13"/>
    </row>
    <row r="45" spans="1:25" x14ac:dyDescent="0.25">
      <c r="A45" s="12">
        <f t="shared" si="24"/>
        <v>2045</v>
      </c>
      <c r="B45" s="1">
        <f t="shared" si="25"/>
        <v>11.974617479743515</v>
      </c>
      <c r="C45" s="10">
        <f>B45*'INPUT - OUTPUT'!$L$39</f>
        <v>35.923852439230544</v>
      </c>
      <c r="D45" s="108">
        <f t="shared" si="11"/>
        <v>2.9999999999973593E-2</v>
      </c>
      <c r="E45" s="88">
        <f t="shared" si="15"/>
        <v>0.47320237916672364</v>
      </c>
      <c r="F45" s="14">
        <f t="shared" si="18"/>
        <v>18.924599996152342</v>
      </c>
      <c r="G45" s="10">
        <f t="shared" si="19"/>
        <v>16.999252443078202</v>
      </c>
      <c r="H45" s="110">
        <f t="shared" si="16"/>
        <v>6.7997009772312813</v>
      </c>
      <c r="I45" s="110">
        <f t="shared" si="9"/>
        <v>10.199551465846922</v>
      </c>
      <c r="J45" s="11">
        <f t="shared" si="17"/>
        <v>0.44823794017145246</v>
      </c>
      <c r="K45" s="11">
        <f t="shared" si="13"/>
        <v>0.6723569102571787</v>
      </c>
      <c r="L45" s="73">
        <f t="shared" si="20"/>
        <v>53.788552820574296</v>
      </c>
      <c r="M45" s="74">
        <f t="shared" si="21"/>
        <v>80.682829230861444</v>
      </c>
      <c r="N45" s="34">
        <f t="shared" si="14"/>
        <v>67.23569102571787</v>
      </c>
      <c r="O45" s="73">
        <f t="shared" si="22"/>
        <v>80.682829230861444</v>
      </c>
      <c r="P45" s="82">
        <f t="shared" si="23"/>
        <v>9.8180389031870092</v>
      </c>
      <c r="Q45" s="77">
        <f t="shared" si="10"/>
        <v>8.2178151896170615</v>
      </c>
    </row>
    <row r="46" spans="1:25" x14ac:dyDescent="0.25">
      <c r="A46" s="12">
        <f t="shared" si="24"/>
        <v>2046</v>
      </c>
      <c r="B46" s="1">
        <f t="shared" si="25"/>
        <v>12.004554023442873</v>
      </c>
      <c r="C46" s="10">
        <f>B46*'INPUT - OUTPUT'!$L$39</f>
        <v>36.013662070328621</v>
      </c>
      <c r="D46" s="108">
        <f t="shared" si="11"/>
        <v>2.9935770408896327E-2</v>
      </c>
      <c r="E46" s="88">
        <f t="shared" si="15"/>
        <v>0.50313814957561998</v>
      </c>
      <c r="F46" s="14">
        <f t="shared" si="18"/>
        <v>17.893814776821788</v>
      </c>
      <c r="G46" s="10">
        <f t="shared" si="19"/>
        <v>18.119847293506833</v>
      </c>
      <c r="H46" s="110">
        <f t="shared" si="16"/>
        <v>7.2479389174027338</v>
      </c>
      <c r="I46" s="110">
        <f t="shared" si="9"/>
        <v>10.8719083761041</v>
      </c>
      <c r="J46" s="11">
        <f t="shared" si="17"/>
        <v>0.44765781776798352</v>
      </c>
      <c r="K46" s="11">
        <f t="shared" ref="K46:K68" si="26">IF(I47-I46&lt;=0,0,I47-I46)</f>
        <v>0.67148672665197573</v>
      </c>
      <c r="L46" s="73">
        <f t="shared" si="20"/>
        <v>53.718938132158023</v>
      </c>
      <c r="M46" s="74">
        <f t="shared" si="21"/>
        <v>80.578407198237088</v>
      </c>
      <c r="N46" s="34">
        <f t="shared" ref="N46:N77" si="27">K46/O$6*1000</f>
        <v>67.148672665197566</v>
      </c>
      <c r="O46" s="73">
        <f t="shared" si="22"/>
        <v>80.578407198237073</v>
      </c>
      <c r="P46" s="82">
        <f t="shared" si="23"/>
        <v>9.9162192922188765</v>
      </c>
      <c r="Q46" s="77">
        <f t="shared" si="10"/>
        <v>8.1259202548561902</v>
      </c>
    </row>
    <row r="47" spans="1:25" x14ac:dyDescent="0.25">
      <c r="A47" s="12">
        <f t="shared" si="24"/>
        <v>2047</v>
      </c>
      <c r="B47" s="1">
        <f t="shared" si="25"/>
        <v>12.03456540850148</v>
      </c>
      <c r="C47" s="10">
        <f>B47*'INPUT - OUTPUT'!$L$39</f>
        <v>36.103696225504443</v>
      </c>
      <c r="D47" s="108">
        <f t="shared" si="11"/>
        <v>2.9743351469581871E-2</v>
      </c>
      <c r="E47" s="88">
        <f t="shared" si="15"/>
        <v>0.53288150104520182</v>
      </c>
      <c r="F47" s="14">
        <f t="shared" si="18"/>
        <v>16.86470438757765</v>
      </c>
      <c r="G47" s="10">
        <f t="shared" si="19"/>
        <v>19.238991837926793</v>
      </c>
      <c r="H47" s="110">
        <f t="shared" si="16"/>
        <v>7.6955967351707173</v>
      </c>
      <c r="I47" s="110">
        <f t="shared" si="9"/>
        <v>11.543395102756076</v>
      </c>
      <c r="J47" s="11">
        <f t="shared" si="17"/>
        <v>0.44522110344208343</v>
      </c>
      <c r="K47" s="11">
        <f t="shared" si="26"/>
        <v>0.66783165516312337</v>
      </c>
      <c r="L47" s="73">
        <f t="shared" si="20"/>
        <v>53.426532413050012</v>
      </c>
      <c r="M47" s="74">
        <f t="shared" si="21"/>
        <v>80.139798619574805</v>
      </c>
      <c r="N47" s="34">
        <f t="shared" si="27"/>
        <v>66.783165516312337</v>
      </c>
      <c r="O47" s="73">
        <f t="shared" si="22"/>
        <v>80.139798619574805</v>
      </c>
      <c r="P47" s="82">
        <f t="shared" si="23"/>
        <v>10.015381485141067</v>
      </c>
      <c r="Q47" s="77">
        <f t="shared" si="10"/>
        <v>8.0016721019035693</v>
      </c>
    </row>
    <row r="48" spans="1:25" x14ac:dyDescent="0.25">
      <c r="A48" s="12">
        <f t="shared" si="24"/>
        <v>2048</v>
      </c>
      <c r="B48" s="1">
        <f t="shared" si="25"/>
        <v>12.064651822022734</v>
      </c>
      <c r="C48" s="10">
        <f>B48*'INPUT - OUTPUT'!$L$39</f>
        <v>36.193955466068203</v>
      </c>
      <c r="D48" s="108">
        <f t="shared" si="11"/>
        <v>2.9423567148077607E-2</v>
      </c>
      <c r="E48" s="88">
        <f t="shared" ref="E48:E79" si="28">IF(E47+D48&gt;$F$6,$F$6,E47+D48)</f>
        <v>0.56230506819327941</v>
      </c>
      <c r="F48" s="14">
        <f t="shared" si="18"/>
        <v>15.841910869536203</v>
      </c>
      <c r="G48" s="10">
        <f t="shared" si="19"/>
        <v>20.352044596532</v>
      </c>
      <c r="H48" s="110">
        <f t="shared" si="16"/>
        <v>8.1408178386128007</v>
      </c>
      <c r="I48" s="110">
        <f t="shared" si="9"/>
        <v>12.211226757919199</v>
      </c>
      <c r="J48" s="11">
        <f t="shared" si="17"/>
        <v>0.44092915540998234</v>
      </c>
      <c r="K48" s="11">
        <f t="shared" si="26"/>
        <v>0.66139373311497351</v>
      </c>
      <c r="L48" s="73">
        <f t="shared" si="20"/>
        <v>52.911498649197881</v>
      </c>
      <c r="M48" s="74">
        <f t="shared" si="21"/>
        <v>79.367247973796822</v>
      </c>
      <c r="N48" s="34">
        <f t="shared" si="27"/>
        <v>66.139373311497351</v>
      </c>
      <c r="O48" s="73">
        <f t="shared" si="22"/>
        <v>79.367247973796822</v>
      </c>
      <c r="P48" s="82">
        <f t="shared" si="23"/>
        <v>10.115535299992478</v>
      </c>
      <c r="Q48" s="77">
        <f t="shared" si="10"/>
        <v>7.8460749352390513</v>
      </c>
      <c r="T48" s="4"/>
      <c r="U48" s="4"/>
      <c r="V48" s="4"/>
      <c r="W48" s="4"/>
      <c r="X48" s="4"/>
      <c r="Y48" s="4"/>
    </row>
    <row r="49" spans="1:28" x14ac:dyDescent="0.25">
      <c r="A49" s="12">
        <f t="shared" si="24"/>
        <v>2049</v>
      </c>
      <c r="B49" s="1">
        <f t="shared" si="25"/>
        <v>12.094813451577791</v>
      </c>
      <c r="C49" s="10">
        <f>B49*'INPUT - OUTPUT'!$L$39</f>
        <v>36.28444035473337</v>
      </c>
      <c r="D49" s="108">
        <f t="shared" si="11"/>
        <v>2.8977786807629916E-2</v>
      </c>
      <c r="E49" s="88">
        <f t="shared" si="28"/>
        <v>0.59128285500090938</v>
      </c>
      <c r="F49" s="14">
        <f t="shared" si="18"/>
        <v>14.830072869676414</v>
      </c>
      <c r="G49" s="10">
        <f t="shared" si="19"/>
        <v>21.454367485056956</v>
      </c>
      <c r="H49" s="110">
        <f t="shared" ref="H49:H80" si="29">G49*(1-$J$6)</f>
        <v>8.5817469940227831</v>
      </c>
      <c r="I49" s="110">
        <f t="shared" si="9"/>
        <v>12.872620491034173</v>
      </c>
      <c r="J49" s="11">
        <f t="shared" si="17"/>
        <v>0.43479131496853718</v>
      </c>
      <c r="K49" s="11">
        <f t="shared" si="26"/>
        <v>0.65218697245280843</v>
      </c>
      <c r="L49" s="73">
        <f t="shared" si="20"/>
        <v>52.174957796224462</v>
      </c>
      <c r="M49" s="74">
        <f t="shared" si="21"/>
        <v>78.262436694337012</v>
      </c>
      <c r="N49" s="34">
        <f t="shared" si="27"/>
        <v>65.21869724528085</v>
      </c>
      <c r="O49" s="73">
        <f t="shared" si="22"/>
        <v>78.262436694337012</v>
      </c>
      <c r="P49" s="82">
        <f t="shared" si="23"/>
        <v>10.216690652992403</v>
      </c>
      <c r="Q49" s="77">
        <f t="shared" si="10"/>
        <v>7.6602531438508858</v>
      </c>
      <c r="T49" s="4"/>
      <c r="U49" s="4"/>
      <c r="V49" s="4"/>
      <c r="W49" s="4"/>
      <c r="X49" s="4"/>
      <c r="Y49" s="4"/>
    </row>
    <row r="50" spans="1:28" x14ac:dyDescent="0.25">
      <c r="A50" s="12">
        <f t="shared" si="24"/>
        <v>2050</v>
      </c>
      <c r="B50" s="1">
        <f t="shared" si="25"/>
        <v>12.125050485206735</v>
      </c>
      <c r="C50" s="10">
        <f>B50*'INPUT - OUTPUT'!$L$39</f>
        <v>36.375151455620205</v>
      </c>
      <c r="D50" s="108">
        <f t="shared" si="11"/>
        <v>2.8407919344870438E-2</v>
      </c>
      <c r="E50" s="88">
        <f t="shared" si="28"/>
        <v>0.61969077434577979</v>
      </c>
      <c r="F50" s="14">
        <f t="shared" si="18"/>
        <v>13.833805683141902</v>
      </c>
      <c r="G50" s="10">
        <f t="shared" si="19"/>
        <v>22.541345772478302</v>
      </c>
      <c r="H50" s="110">
        <f t="shared" si="29"/>
        <v>9.0165383089913202</v>
      </c>
      <c r="I50" s="110">
        <f t="shared" si="9"/>
        <v>13.524807463486981</v>
      </c>
      <c r="J50" s="11">
        <f t="shared" si="17"/>
        <v>0.42682490630243564</v>
      </c>
      <c r="K50" s="11">
        <f t="shared" si="26"/>
        <v>0.6402373594536499</v>
      </c>
      <c r="L50" s="73">
        <f t="shared" si="20"/>
        <v>51.218988756292276</v>
      </c>
      <c r="M50" s="74">
        <f t="shared" si="21"/>
        <v>76.828483134437988</v>
      </c>
      <c r="N50" s="34">
        <f t="shared" si="27"/>
        <v>64.02373594536499</v>
      </c>
      <c r="O50" s="73">
        <f t="shared" si="22"/>
        <v>76.828483134437988</v>
      </c>
      <c r="P50" s="82">
        <f t="shared" si="23"/>
        <v>10.318857559522325</v>
      </c>
      <c r="Q50" s="77">
        <f t="shared" si="10"/>
        <v>7.4454446813775466</v>
      </c>
      <c r="T50" s="4"/>
      <c r="U50" s="4"/>
      <c r="V50" s="4"/>
      <c r="W50" s="4"/>
      <c r="X50" s="4"/>
      <c r="Y50" s="4"/>
    </row>
    <row r="51" spans="1:28" x14ac:dyDescent="0.25">
      <c r="A51" s="12">
        <f t="shared" si="24"/>
        <v>2051</v>
      </c>
      <c r="B51" s="1">
        <f t="shared" si="25"/>
        <v>12.155363111419751</v>
      </c>
      <c r="C51" s="10">
        <f>B51*'INPUT - OUTPUT'!$L$39</f>
        <v>36.466089334259252</v>
      </c>
      <c r="D51" s="108">
        <f t="shared" si="11"/>
        <v>2.7716405015641425E-2</v>
      </c>
      <c r="E51" s="88">
        <f t="shared" si="28"/>
        <v>0.64740717936142123</v>
      </c>
      <c r="F51" s="14">
        <f t="shared" si="18"/>
        <v>12.857681296024863</v>
      </c>
      <c r="G51" s="10">
        <f t="shared" si="19"/>
        <v>23.608408038234387</v>
      </c>
      <c r="H51" s="110">
        <f t="shared" si="29"/>
        <v>9.4433632152937559</v>
      </c>
      <c r="I51" s="110">
        <f t="shared" si="9"/>
        <v>14.165044822940631</v>
      </c>
      <c r="J51" s="11">
        <f t="shared" si="17"/>
        <v>0.41705520197119839</v>
      </c>
      <c r="K51" s="11">
        <f t="shared" si="26"/>
        <v>0.62558280295679936</v>
      </c>
      <c r="L51" s="73">
        <f t="shared" si="20"/>
        <v>50.046624236543806</v>
      </c>
      <c r="M51" s="74">
        <f t="shared" si="21"/>
        <v>75.069936354815923</v>
      </c>
      <c r="N51" s="34">
        <f t="shared" si="27"/>
        <v>62.558280295679936</v>
      </c>
      <c r="O51" s="73">
        <f t="shared" si="22"/>
        <v>75.069936354815923</v>
      </c>
      <c r="P51" s="82">
        <f t="shared" si="23"/>
        <v>10.422046135117551</v>
      </c>
      <c r="Q51" s="77">
        <f t="shared" si="10"/>
        <v>7.2029940552522032</v>
      </c>
      <c r="U51" s="4"/>
      <c r="V51" s="4"/>
    </row>
    <row r="52" spans="1:28" x14ac:dyDescent="0.25">
      <c r="A52" s="12">
        <f t="shared" si="24"/>
        <v>2052</v>
      </c>
      <c r="B52" s="1">
        <f t="shared" si="25"/>
        <v>12.1857515191983</v>
      </c>
      <c r="C52" s="10">
        <f>B52*'INPUT - OUTPUT'!$L$39</f>
        <v>36.557254557594902</v>
      </c>
      <c r="D52" s="108">
        <f t="shared" si="11"/>
        <v>2.6906204985463245E-2</v>
      </c>
      <c r="E52" s="88">
        <f t="shared" si="28"/>
        <v>0.67431338434688448</v>
      </c>
      <c r="F52" s="14">
        <f t="shared" si="18"/>
        <v>11.906208514432517</v>
      </c>
      <c r="G52" s="10">
        <f t="shared" si="19"/>
        <v>24.651046043162385</v>
      </c>
      <c r="H52" s="110">
        <f t="shared" si="29"/>
        <v>9.8604184172649543</v>
      </c>
      <c r="I52" s="110">
        <f t="shared" si="9"/>
        <v>14.790627625897431</v>
      </c>
      <c r="J52" s="11">
        <f t="shared" si="17"/>
        <v>0.40551535405256089</v>
      </c>
      <c r="K52" s="11">
        <f t="shared" si="26"/>
        <v>0.60827303107884134</v>
      </c>
      <c r="L52" s="73">
        <f t="shared" si="20"/>
        <v>48.661842486307307</v>
      </c>
      <c r="M52" s="74">
        <f t="shared" si="21"/>
        <v>72.992763729460961</v>
      </c>
      <c r="N52" s="34">
        <f t="shared" si="27"/>
        <v>60.827303107884134</v>
      </c>
      <c r="O52" s="73">
        <f t="shared" si="22"/>
        <v>72.992763729460961</v>
      </c>
      <c r="P52" s="82">
        <f t="shared" si="23"/>
        <v>10.526266596468727</v>
      </c>
      <c r="Q52" s="77">
        <f t="shared" si="10"/>
        <v>6.9343449608190646</v>
      </c>
      <c r="T52" s="4"/>
      <c r="U52" s="4"/>
      <c r="V52" s="4"/>
      <c r="W52" s="4"/>
      <c r="X52" s="4"/>
      <c r="Y52" s="4"/>
    </row>
    <row r="53" spans="1:28" x14ac:dyDescent="0.25">
      <c r="A53" s="12">
        <f t="shared" si="24"/>
        <v>2053</v>
      </c>
      <c r="B53" s="1">
        <f t="shared" si="25"/>
        <v>12.216215897996296</v>
      </c>
      <c r="C53" s="10">
        <f>B53*'INPUT - OUTPUT'!$L$39</f>
        <v>36.648647693988892</v>
      </c>
      <c r="D53" s="108">
        <f t="shared" si="11"/>
        <v>2.5980788649390438E-2</v>
      </c>
      <c r="E53" s="88">
        <f t="shared" si="28"/>
        <v>0.70029417299627494</v>
      </c>
      <c r="F53" s="14">
        <f t="shared" si="18"/>
        <v>10.983813265695103</v>
      </c>
      <c r="G53" s="10">
        <f t="shared" si="19"/>
        <v>25.664834428293787</v>
      </c>
      <c r="H53" s="110">
        <f t="shared" si="29"/>
        <v>10.265933771317515</v>
      </c>
      <c r="I53" s="110">
        <f t="shared" si="9"/>
        <v>15.398900656976272</v>
      </c>
      <c r="J53" s="11">
        <f t="shared" si="17"/>
        <v>0.39224629106626274</v>
      </c>
      <c r="K53" s="11">
        <f t="shared" si="26"/>
        <v>0.588369436599395</v>
      </c>
      <c r="L53" s="73">
        <f t="shared" si="20"/>
        <v>47.069554927951529</v>
      </c>
      <c r="M53" s="74">
        <f t="shared" si="21"/>
        <v>70.6043323919274</v>
      </c>
      <c r="N53" s="34">
        <f t="shared" si="27"/>
        <v>58.8369436599395</v>
      </c>
      <c r="O53" s="73">
        <f t="shared" si="22"/>
        <v>70.6043323919274</v>
      </c>
      <c r="P53" s="82">
        <f t="shared" si="23"/>
        <v>10.631529262433416</v>
      </c>
      <c r="Q53" s="77">
        <f t="shared" si="10"/>
        <v>6.6410325973901339</v>
      </c>
      <c r="T53" s="4"/>
      <c r="U53" s="4"/>
      <c r="V53" s="4"/>
      <c r="W53" s="4"/>
      <c r="X53" s="4"/>
      <c r="Y53" s="4"/>
    </row>
    <row r="54" spans="1:28" x14ac:dyDescent="0.25">
      <c r="A54" s="12">
        <f t="shared" si="24"/>
        <v>2054</v>
      </c>
      <c r="B54" s="1">
        <f t="shared" si="25"/>
        <v>12.246756437741286</v>
      </c>
      <c r="C54" s="10">
        <f>B54*'INPUT - OUTPUT'!$L$39</f>
        <v>36.740269313223862</v>
      </c>
      <c r="D54" s="108">
        <f t="shared" si="11"/>
        <v>2.4944118775554535E-2</v>
      </c>
      <c r="E54" s="88">
        <f t="shared" si="28"/>
        <v>0.72523829177182952</v>
      </c>
      <c r="F54" s="14">
        <f t="shared" si="18"/>
        <v>10.094819157264419</v>
      </c>
      <c r="G54" s="10">
        <f t="shared" si="19"/>
        <v>26.645450155959445</v>
      </c>
      <c r="H54" s="110">
        <f t="shared" si="29"/>
        <v>10.658180062383778</v>
      </c>
      <c r="I54" s="110">
        <f t="shared" si="9"/>
        <v>15.987270093575667</v>
      </c>
      <c r="J54" s="11">
        <f t="shared" si="17"/>
        <v>0.37729658095010343</v>
      </c>
      <c r="K54" s="11">
        <f t="shared" si="26"/>
        <v>0.56594487142515248</v>
      </c>
      <c r="L54" s="73">
        <f t="shared" si="20"/>
        <v>45.275589714012412</v>
      </c>
      <c r="M54" s="74">
        <f t="shared" si="21"/>
        <v>67.913384571018298</v>
      </c>
      <c r="N54" s="34">
        <f t="shared" si="27"/>
        <v>56.594487142515248</v>
      </c>
      <c r="O54" s="73">
        <f t="shared" si="22"/>
        <v>67.913384571018298</v>
      </c>
      <c r="P54" s="82">
        <f t="shared" si="23"/>
        <v>10.737844555057746</v>
      </c>
      <c r="Q54" s="77">
        <f t="shared" si="10"/>
        <v>6.324675704029417</v>
      </c>
      <c r="T54" s="4"/>
      <c r="U54" s="4"/>
      <c r="V54" s="4"/>
      <c r="W54" s="4"/>
      <c r="X54" s="4"/>
      <c r="Y54" s="4"/>
    </row>
    <row r="55" spans="1:28" x14ac:dyDescent="0.25">
      <c r="A55" s="12">
        <f t="shared" si="24"/>
        <v>2055</v>
      </c>
      <c r="B55" s="1">
        <f t="shared" si="25"/>
        <v>12.277373328835639</v>
      </c>
      <c r="C55" s="10">
        <f>B55*'INPUT - OUTPUT'!$L$39</f>
        <v>36.832119986506918</v>
      </c>
      <c r="D55" s="108">
        <f t="shared" si="11"/>
        <v>2.3800634536011195E-2</v>
      </c>
      <c r="E55" s="88">
        <f t="shared" si="28"/>
        <v>0.74903892630784075</v>
      </c>
      <c r="F55" s="14">
        <f t="shared" si="18"/>
        <v>9.2434283781722151</v>
      </c>
      <c r="G55" s="10">
        <f t="shared" si="19"/>
        <v>27.588691608334702</v>
      </c>
      <c r="H55" s="110">
        <f t="shared" si="29"/>
        <v>11.035476643333881</v>
      </c>
      <c r="I55" s="110">
        <f t="shared" si="9"/>
        <v>16.553214965000819</v>
      </c>
      <c r="J55" s="11">
        <f t="shared" si="17"/>
        <v>0.36072226050742628</v>
      </c>
      <c r="K55" s="11">
        <f t="shared" si="26"/>
        <v>0.5410833907611412</v>
      </c>
      <c r="L55" s="73">
        <f t="shared" si="20"/>
        <v>43.286671260891154</v>
      </c>
      <c r="M55" s="74">
        <f t="shared" si="21"/>
        <v>64.930006891336944</v>
      </c>
      <c r="N55" s="34">
        <f t="shared" si="27"/>
        <v>54.10833907611412</v>
      </c>
      <c r="O55" s="73">
        <f t="shared" si="22"/>
        <v>64.930006891336944</v>
      </c>
      <c r="P55" s="82">
        <f t="shared" si="23"/>
        <v>10.845223000608325</v>
      </c>
      <c r="Q55" s="77">
        <f t="shared" si="10"/>
        <v>5.9869683535041114</v>
      </c>
      <c r="T55" s="4"/>
      <c r="W55" s="4"/>
      <c r="X55" s="4"/>
      <c r="Y55" s="4"/>
    </row>
    <row r="56" spans="1:28" x14ac:dyDescent="0.25">
      <c r="A56" s="12">
        <f t="shared" si="24"/>
        <v>2056</v>
      </c>
      <c r="B56" s="1">
        <f t="shared" si="25"/>
        <v>12.308066762157727</v>
      </c>
      <c r="C56" s="10">
        <f>B56*'INPUT - OUTPUT'!$L$39</f>
        <v>36.92420028647318</v>
      </c>
      <c r="D56" s="108">
        <f t="shared" si="11"/>
        <v>2.2555232497556092E-2</v>
      </c>
      <c r="E56" s="88">
        <f t="shared" si="28"/>
        <v>0.77159415880539683</v>
      </c>
      <c r="F56" s="14">
        <f t="shared" si="18"/>
        <v>8.4337030268699138</v>
      </c>
      <c r="G56" s="10">
        <f t="shared" si="19"/>
        <v>28.490497259603266</v>
      </c>
      <c r="H56" s="110">
        <f t="shared" si="29"/>
        <v>11.396198903841308</v>
      </c>
      <c r="I56" s="110">
        <f t="shared" si="9"/>
        <v>17.094298355761961</v>
      </c>
      <c r="J56" s="11">
        <f t="shared" si="17"/>
        <v>0.34258663189129734</v>
      </c>
      <c r="K56" s="11">
        <f t="shared" si="26"/>
        <v>0.51387994783694424</v>
      </c>
      <c r="L56" s="73">
        <f t="shared" si="20"/>
        <v>41.110395826955681</v>
      </c>
      <c r="M56" s="74">
        <f t="shared" si="21"/>
        <v>61.665593740433309</v>
      </c>
      <c r="N56" s="34">
        <f t="shared" si="27"/>
        <v>51.387994783694424</v>
      </c>
      <c r="O56" s="73">
        <f t="shared" si="22"/>
        <v>61.665593740433309</v>
      </c>
      <c r="P56" s="82">
        <f t="shared" si="23"/>
        <v>10.953675230614408</v>
      </c>
      <c r="Q56" s="77">
        <f t="shared" si="10"/>
        <v>5.6296715433085183</v>
      </c>
      <c r="T56" s="4"/>
      <c r="U56" s="4"/>
      <c r="V56" s="4"/>
      <c r="W56" s="4"/>
      <c r="X56" s="4"/>
      <c r="Y56" s="4"/>
    </row>
    <row r="57" spans="1:28" x14ac:dyDescent="0.25">
      <c r="A57" s="12">
        <f t="shared" si="24"/>
        <v>2057</v>
      </c>
      <c r="B57" s="1">
        <f t="shared" si="25"/>
        <v>12.33883692906312</v>
      </c>
      <c r="C57" s="10">
        <f>B57*'INPUT - OUTPUT'!$L$39</f>
        <v>37.016510787189361</v>
      </c>
      <c r="D57" s="108">
        <f t="shared" si="11"/>
        <v>2.1213245653909498E-2</v>
      </c>
      <c r="E57" s="88">
        <f t="shared" si="28"/>
        <v>0.79280740445930631</v>
      </c>
      <c r="F57" s="14">
        <f t="shared" si="18"/>
        <v>7.6695469478578504</v>
      </c>
      <c r="G57" s="10">
        <f t="shared" si="19"/>
        <v>29.346963839331512</v>
      </c>
      <c r="H57" s="110">
        <f t="shared" si="29"/>
        <v>11.738785535732605</v>
      </c>
      <c r="I57" s="110">
        <f t="shared" si="9"/>
        <v>17.608178303598905</v>
      </c>
      <c r="J57" s="11">
        <f t="shared" si="17"/>
        <v>0.32296002683543001</v>
      </c>
      <c r="K57" s="11">
        <f t="shared" si="26"/>
        <v>0.48444004025314413</v>
      </c>
      <c r="L57" s="73">
        <f t="shared" si="20"/>
        <v>38.755203220251602</v>
      </c>
      <c r="M57" s="74">
        <f t="shared" si="21"/>
        <v>58.132804830377296</v>
      </c>
      <c r="N57" s="34">
        <f t="shared" si="27"/>
        <v>48.444004025314413</v>
      </c>
      <c r="O57" s="73">
        <f t="shared" si="22"/>
        <v>58.132804830377296</v>
      </c>
      <c r="P57" s="82">
        <f t="shared" si="23"/>
        <v>11.063211982920555</v>
      </c>
      <c r="Q57" s="77">
        <f t="shared" si="10"/>
        <v>5.2546046229723364</v>
      </c>
      <c r="T57" s="4"/>
      <c r="U57" s="4"/>
      <c r="V57" s="4"/>
      <c r="W57" s="4"/>
      <c r="X57" s="4"/>
      <c r="Y57" s="4"/>
    </row>
    <row r="58" spans="1:28" x14ac:dyDescent="0.25">
      <c r="A58" s="12">
        <f t="shared" si="24"/>
        <v>2058</v>
      </c>
      <c r="B58" s="1">
        <f t="shared" si="25"/>
        <v>12.369684021385778</v>
      </c>
      <c r="C58" s="10">
        <f>B58*'INPUT - OUTPUT'!$L$39</f>
        <v>37.109052064157332</v>
      </c>
      <c r="D58" s="108">
        <f t="shared" si="11"/>
        <v>1.9780420589057095E-2</v>
      </c>
      <c r="E58" s="88">
        <f t="shared" si="28"/>
        <v>0.81258782504836335</v>
      </c>
      <c r="F58" s="14">
        <f t="shared" si="18"/>
        <v>6.9546881577372472</v>
      </c>
      <c r="G58" s="10">
        <f t="shared" si="19"/>
        <v>30.154363906420084</v>
      </c>
      <c r="H58" s="110">
        <f t="shared" si="29"/>
        <v>12.061745562568035</v>
      </c>
      <c r="I58" s="110">
        <f t="shared" si="9"/>
        <v>18.092618343852049</v>
      </c>
      <c r="J58" s="11">
        <f t="shared" si="17"/>
        <v>0.30191953948386008</v>
      </c>
      <c r="K58" s="11">
        <f t="shared" si="26"/>
        <v>0.45287930922579278</v>
      </c>
      <c r="L58" s="73">
        <f t="shared" si="20"/>
        <v>36.230344738063209</v>
      </c>
      <c r="M58" s="74">
        <f t="shared" si="21"/>
        <v>54.345517107095134</v>
      </c>
      <c r="N58" s="34">
        <f t="shared" si="27"/>
        <v>45.287930922579278</v>
      </c>
      <c r="O58" s="73">
        <f t="shared" si="22"/>
        <v>54.345517107095134</v>
      </c>
      <c r="P58" s="82">
        <f t="shared" si="23"/>
        <v>11.173844102749756</v>
      </c>
      <c r="Q58" s="77">
        <f t="shared" si="10"/>
        <v>4.863636596981098</v>
      </c>
      <c r="T58" s="4"/>
      <c r="U58" s="4"/>
      <c r="V58" s="4"/>
      <c r="W58" s="4"/>
      <c r="X58" s="4"/>
      <c r="Y58" s="4"/>
    </row>
    <row r="59" spans="1:28" x14ac:dyDescent="0.25">
      <c r="A59" s="12">
        <f t="shared" si="24"/>
        <v>2059</v>
      </c>
      <c r="B59" s="1">
        <f t="shared" si="25"/>
        <v>12.400608231439241</v>
      </c>
      <c r="C59" s="10">
        <f>B59*'INPUT - OUTPUT'!$L$39</f>
        <v>37.201824694317722</v>
      </c>
      <c r="D59" s="108">
        <f t="shared" si="11"/>
        <v>1.8262892869536571E-2</v>
      </c>
      <c r="E59" s="88">
        <f t="shared" si="28"/>
        <v>0.83085071791789988</v>
      </c>
      <c r="F59" s="14">
        <f t="shared" si="18"/>
        <v>6.2926619391879859</v>
      </c>
      <c r="G59" s="10">
        <f t="shared" si="19"/>
        <v>30.909162755129735</v>
      </c>
      <c r="H59" s="110">
        <f t="shared" si="29"/>
        <v>12.363665102051895</v>
      </c>
      <c r="I59" s="110">
        <f t="shared" si="9"/>
        <v>18.545497653077842</v>
      </c>
      <c r="J59" s="11">
        <f t="shared" si="17"/>
        <v>0.27954872881084647</v>
      </c>
      <c r="K59" s="11">
        <f t="shared" si="26"/>
        <v>0.41932309321626704</v>
      </c>
      <c r="L59" s="73">
        <f t="shared" si="20"/>
        <v>33.545847457301576</v>
      </c>
      <c r="M59" s="74">
        <f t="shared" si="21"/>
        <v>50.318771185952045</v>
      </c>
      <c r="N59" s="34">
        <f t="shared" si="27"/>
        <v>41.932309321626704</v>
      </c>
      <c r="O59" s="73">
        <f t="shared" si="22"/>
        <v>50.318771185952045</v>
      </c>
      <c r="P59" s="82">
        <f t="shared" si="23"/>
        <v>11.285582543777258</v>
      </c>
      <c r="Q59" s="77">
        <f t="shared" si="10"/>
        <v>4.4586773425973698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x14ac:dyDescent="0.25">
      <c r="A60" s="12">
        <f t="shared" si="24"/>
        <v>2060</v>
      </c>
      <c r="B60" s="1">
        <f t="shared" si="25"/>
        <v>12.431609752017838</v>
      </c>
      <c r="C60" s="10">
        <f>B60*'INPUT - OUTPUT'!$L$39</f>
        <v>37.294829256053518</v>
      </c>
      <c r="D60" s="108">
        <f t="shared" si="11"/>
        <v>1.6667160771044201E-2</v>
      </c>
      <c r="E60" s="88">
        <f t="shared" si="28"/>
        <v>0.84751787868894413</v>
      </c>
      <c r="F60" s="14">
        <f t="shared" si="18"/>
        <v>5.6867946788966686</v>
      </c>
      <c r="G60" s="10">
        <f t="shared" si="19"/>
        <v>31.60803457715685</v>
      </c>
      <c r="H60" s="110">
        <f t="shared" si="29"/>
        <v>12.643213830862742</v>
      </c>
      <c r="I60" s="110">
        <f t="shared" si="9"/>
        <v>18.964820746294109</v>
      </c>
      <c r="J60" s="11">
        <f t="shared" si="17"/>
        <v>0.25593729175801272</v>
      </c>
      <c r="K60" s="11">
        <f t="shared" si="26"/>
        <v>0.38390593763702086</v>
      </c>
      <c r="L60" s="73">
        <f t="shared" si="20"/>
        <v>30.712475010961526</v>
      </c>
      <c r="M60" s="74">
        <f t="shared" si="21"/>
        <v>46.068712516442503</v>
      </c>
      <c r="N60" s="34">
        <f t="shared" si="27"/>
        <v>38.390593763702086</v>
      </c>
      <c r="O60" s="73">
        <f t="shared" si="22"/>
        <v>46.068712516442503</v>
      </c>
      <c r="P60" s="82">
        <f t="shared" si="23"/>
        <v>11.398438369215031</v>
      </c>
      <c r="Q60" s="77">
        <f t="shared" si="10"/>
        <v>4.0416687816521559</v>
      </c>
      <c r="S60" s="4"/>
      <c r="T60" s="4"/>
      <c r="U60" s="4"/>
      <c r="V60" s="4"/>
      <c r="W60" s="4"/>
      <c r="X60" s="4"/>
    </row>
    <row r="61" spans="1:28" x14ac:dyDescent="0.25">
      <c r="A61" s="12">
        <f t="shared" si="24"/>
        <v>2061</v>
      </c>
      <c r="B61" s="1">
        <f t="shared" si="25"/>
        <v>12.462688776397883</v>
      </c>
      <c r="C61" s="10">
        <f>B61*'INPUT - OUTPUT'!$L$39</f>
        <v>37.388066329193649</v>
      </c>
      <c r="D61" s="108">
        <f t="shared" si="11"/>
        <v>1.5000057451867626E-2</v>
      </c>
      <c r="E61" s="88">
        <f t="shared" si="28"/>
        <v>0.86251793614081174</v>
      </c>
      <c r="F61" s="14">
        <f t="shared" si="18"/>
        <v>5.1401885226417674</v>
      </c>
      <c r="G61" s="10">
        <f t="shared" si="19"/>
        <v>32.247877806551884</v>
      </c>
      <c r="H61" s="110">
        <f t="shared" si="29"/>
        <v>12.899151122620754</v>
      </c>
      <c r="I61" s="110">
        <f t="shared" si="9"/>
        <v>19.34872668393113</v>
      </c>
      <c r="J61" s="11">
        <f t="shared" si="17"/>
        <v>0.23118070834745197</v>
      </c>
      <c r="K61" s="11">
        <f t="shared" si="26"/>
        <v>0.34677106252117795</v>
      </c>
      <c r="L61" s="73">
        <f t="shared" si="20"/>
        <v>27.741685001694236</v>
      </c>
      <c r="M61" s="74">
        <f t="shared" si="21"/>
        <v>41.612527502541354</v>
      </c>
      <c r="N61" s="34">
        <f t="shared" si="27"/>
        <v>34.677106252117795</v>
      </c>
      <c r="O61" s="73">
        <f t="shared" si="22"/>
        <v>41.612527502541354</v>
      </c>
      <c r="P61" s="82">
        <f t="shared" si="23"/>
        <v>11.512422752907181</v>
      </c>
      <c r="Q61" s="77">
        <f t="shared" si="10"/>
        <v>3.6145760449974031</v>
      </c>
      <c r="U61" s="4"/>
      <c r="V61" s="4"/>
    </row>
    <row r="62" spans="1:28" x14ac:dyDescent="0.25">
      <c r="A62" s="12">
        <f t="shared" si="24"/>
        <v>2062</v>
      </c>
      <c r="B62" s="1">
        <f t="shared" si="25"/>
        <v>12.493845498338876</v>
      </c>
      <c r="C62" s="10">
        <f>B62*'INPUT - OUTPUT'!$L$39</f>
        <v>37.481536495016627</v>
      </c>
      <c r="D62" s="108">
        <f t="shared" si="11"/>
        <v>1.3268721692302508E-2</v>
      </c>
      <c r="E62" s="88">
        <f t="shared" si="28"/>
        <v>0.87578665783311427</v>
      </c>
      <c r="F62" s="14">
        <f t="shared" si="18"/>
        <v>4.655706917596115</v>
      </c>
      <c r="G62" s="10">
        <f t="shared" si="19"/>
        <v>32.825829577420514</v>
      </c>
      <c r="H62" s="110">
        <f t="shared" si="29"/>
        <v>13.130331830968206</v>
      </c>
      <c r="I62" s="110">
        <f t="shared" si="9"/>
        <v>19.695497746452308</v>
      </c>
      <c r="J62" s="11">
        <f t="shared" si="17"/>
        <v>0.20537986015606258</v>
      </c>
      <c r="K62" s="11">
        <f t="shared" si="26"/>
        <v>0.30806979023409298</v>
      </c>
      <c r="L62" s="73">
        <f t="shared" si="20"/>
        <v>24.645583218727509</v>
      </c>
      <c r="M62" s="74">
        <f t="shared" si="21"/>
        <v>36.968374828091157</v>
      </c>
      <c r="N62" s="34">
        <f t="shared" si="27"/>
        <v>30.806979023409298</v>
      </c>
      <c r="O62" s="73">
        <f t="shared" si="22"/>
        <v>36.968374828091157</v>
      </c>
      <c r="P62" s="82">
        <f t="shared" si="23"/>
        <v>11.62754698043625</v>
      </c>
      <c r="Q62" s="77">
        <f t="shared" si="10"/>
        <v>3.1793786677698854</v>
      </c>
      <c r="T62" s="4"/>
      <c r="U62" s="4"/>
      <c r="V62" s="4"/>
      <c r="W62" s="4"/>
      <c r="X62" s="4"/>
      <c r="Y62" s="4"/>
    </row>
    <row r="63" spans="1:28" x14ac:dyDescent="0.25">
      <c r="A63" s="12">
        <f t="shared" si="24"/>
        <v>2063</v>
      </c>
      <c r="B63" s="1">
        <f t="shared" si="25"/>
        <v>12.525080112084723</v>
      </c>
      <c r="C63" s="10">
        <f>B63*'INPUT - OUTPUT'!$L$39</f>
        <v>37.575240336254168</v>
      </c>
      <c r="D63" s="108">
        <f t="shared" si="11"/>
        <v>1.1480567325350815E-2</v>
      </c>
      <c r="E63" s="88">
        <f t="shared" si="28"/>
        <v>0.88726722515846512</v>
      </c>
      <c r="F63" s="14">
        <f t="shared" si="18"/>
        <v>4.2359611084435</v>
      </c>
      <c r="G63" s="10">
        <f t="shared" si="19"/>
        <v>33.339279227810671</v>
      </c>
      <c r="H63" s="110">
        <f t="shared" si="29"/>
        <v>13.335711691124269</v>
      </c>
      <c r="I63" s="110">
        <f t="shared" si="9"/>
        <v>20.003567536686401</v>
      </c>
      <c r="J63" s="11">
        <f t="shared" si="17"/>
        <v>0.17864062365807243</v>
      </c>
      <c r="K63" s="11">
        <f t="shared" si="26"/>
        <v>0.26796093548711042</v>
      </c>
      <c r="L63" s="73">
        <f t="shared" si="20"/>
        <v>21.436874838968691</v>
      </c>
      <c r="M63" s="74">
        <f t="shared" si="21"/>
        <v>32.15531225845325</v>
      </c>
      <c r="N63" s="34">
        <f t="shared" si="27"/>
        <v>26.796093548711042</v>
      </c>
      <c r="O63" s="73">
        <f t="shared" si="22"/>
        <v>32.15531225845325</v>
      </c>
      <c r="P63" s="82">
        <f t="shared" si="23"/>
        <v>11.743822450240614</v>
      </c>
      <c r="Q63" s="77">
        <f t="shared" si="10"/>
        <v>2.7380618529186322</v>
      </c>
      <c r="U63" s="4"/>
      <c r="V63" s="4"/>
    </row>
    <row r="64" spans="1:28" x14ac:dyDescent="0.25">
      <c r="A64" s="12">
        <f t="shared" si="24"/>
        <v>2064</v>
      </c>
      <c r="B64" s="1">
        <f t="shared" si="25"/>
        <v>12.556392812364933</v>
      </c>
      <c r="C64" s="10">
        <f>B64*'INPUT - OUTPUT'!$L$39</f>
        <v>37.6691784370948</v>
      </c>
      <c r="D64" s="108">
        <f t="shared" si="11"/>
        <v>9.6432514896034986E-3</v>
      </c>
      <c r="E64" s="88">
        <f t="shared" si="28"/>
        <v>0.89691047664806867</v>
      </c>
      <c r="F64" s="14">
        <f t="shared" si="18"/>
        <v>3.8832976501389527</v>
      </c>
      <c r="G64" s="10">
        <f t="shared" si="19"/>
        <v>33.78588078695585</v>
      </c>
      <c r="H64" s="110">
        <f t="shared" si="29"/>
        <v>13.514352314782341</v>
      </c>
      <c r="I64" s="110">
        <f t="shared" si="9"/>
        <v>20.271528472173511</v>
      </c>
      <c r="J64" s="11">
        <f t="shared" si="17"/>
        <v>0.15107344005818035</v>
      </c>
      <c r="K64" s="11">
        <f t="shared" si="26"/>
        <v>0.22661016008726875</v>
      </c>
      <c r="L64" s="73">
        <f t="shared" si="20"/>
        <v>18.128812806981642</v>
      </c>
      <c r="M64" s="74">
        <f t="shared" si="21"/>
        <v>27.19321921047225</v>
      </c>
      <c r="N64" s="34">
        <f t="shared" si="27"/>
        <v>22.661016008726875</v>
      </c>
      <c r="O64" s="73">
        <f t="shared" si="22"/>
        <v>27.19321921047225</v>
      </c>
      <c r="P64" s="82">
        <f t="shared" si="23"/>
        <v>11.861260674743018</v>
      </c>
      <c r="Q64" s="77">
        <f t="shared" si="10"/>
        <v>2.2926078396014518</v>
      </c>
      <c r="U64" s="4"/>
      <c r="V64" s="4"/>
    </row>
    <row r="65" spans="1:22" x14ac:dyDescent="0.25">
      <c r="A65" s="12">
        <f t="shared" si="24"/>
        <v>2065</v>
      </c>
      <c r="B65" s="1">
        <f t="shared" si="25"/>
        <v>12.587783794395845</v>
      </c>
      <c r="C65" s="10">
        <f>B65*'INPUT - OUTPUT'!$L$39</f>
        <v>37.763351383187533</v>
      </c>
      <c r="D65" s="108">
        <f t="shared" si="11"/>
        <v>7.7646418402527789E-3</v>
      </c>
      <c r="E65" s="88">
        <f t="shared" si="28"/>
        <v>0.90467511848832149</v>
      </c>
      <c r="F65" s="14">
        <f t="shared" si="18"/>
        <v>3.5997869960862321</v>
      </c>
      <c r="G65" s="10">
        <f t="shared" si="19"/>
        <v>34.163564387101303</v>
      </c>
      <c r="H65" s="110">
        <f t="shared" si="29"/>
        <v>13.665425754840522</v>
      </c>
      <c r="I65" s="110">
        <f t="shared" si="9"/>
        <v>20.49813863226078</v>
      </c>
      <c r="J65" s="11">
        <f t="shared" si="17"/>
        <v>0.12279286334691086</v>
      </c>
      <c r="K65" s="11">
        <f t="shared" si="26"/>
        <v>0.18418929502036718</v>
      </c>
      <c r="L65" s="73">
        <f t="shared" si="20"/>
        <v>14.735143601629304</v>
      </c>
      <c r="M65" s="74">
        <f t="shared" si="21"/>
        <v>22.102715402444062</v>
      </c>
      <c r="N65" s="34">
        <f t="shared" si="27"/>
        <v>18.418929502036718</v>
      </c>
      <c r="O65" s="73">
        <f t="shared" si="22"/>
        <v>22.102715402444062</v>
      </c>
      <c r="P65" s="82">
        <f t="shared" si="23"/>
        <v>11.979873281490452</v>
      </c>
      <c r="Q65" s="77">
        <f t="shared" si="10"/>
        <v>1.8449874120616907</v>
      </c>
      <c r="U65" s="4"/>
      <c r="V65" s="4"/>
    </row>
    <row r="66" spans="1:22" x14ac:dyDescent="0.25">
      <c r="A66" s="12">
        <f t="shared" si="24"/>
        <v>2066</v>
      </c>
      <c r="B66" s="1">
        <f t="shared" si="25"/>
        <v>12.619253253881833</v>
      </c>
      <c r="C66" s="10">
        <f>B66*'INPUT - OUTPUT'!$L$39</f>
        <v>37.857759761645497</v>
      </c>
      <c r="D66" s="108">
        <f t="shared" si="11"/>
        <v>5.8527828586416326E-3</v>
      </c>
      <c r="E66" s="88">
        <f t="shared" si="28"/>
        <v>0.91052790134696315</v>
      </c>
      <c r="F66" s="14">
        <f t="shared" si="18"/>
        <v>3.3872132161769146</v>
      </c>
      <c r="G66" s="10">
        <f t="shared" si="19"/>
        <v>34.470546545468579</v>
      </c>
      <c r="H66" s="110">
        <f t="shared" si="29"/>
        <v>13.788218618187432</v>
      </c>
      <c r="I66" s="110">
        <f t="shared" si="9"/>
        <v>20.682327927281147</v>
      </c>
      <c r="J66" s="11">
        <f t="shared" si="17"/>
        <v>9.3917088412155181E-2</v>
      </c>
      <c r="K66" s="11">
        <f t="shared" si="26"/>
        <v>0.14087563261823277</v>
      </c>
      <c r="L66" s="73">
        <f t="shared" si="20"/>
        <v>11.270050609458622</v>
      </c>
      <c r="M66" s="74">
        <f t="shared" si="21"/>
        <v>16.905075914187933</v>
      </c>
      <c r="N66" s="34">
        <f t="shared" si="27"/>
        <v>14.087563261823277</v>
      </c>
      <c r="O66" s="73">
        <f t="shared" si="22"/>
        <v>16.905075914187933</v>
      </c>
      <c r="P66" s="82">
        <f t="shared" si="23"/>
        <v>12.099672014305355</v>
      </c>
      <c r="Q66" s="77">
        <f t="shared" si="10"/>
        <v>1.397151583464509</v>
      </c>
    </row>
    <row r="67" spans="1:22" x14ac:dyDescent="0.25">
      <c r="A67" s="12">
        <f t="shared" si="24"/>
        <v>2067</v>
      </c>
      <c r="B67" s="1">
        <f t="shared" si="25"/>
        <v>12.650801387016537</v>
      </c>
      <c r="C67" s="10">
        <f>B67*'INPUT - OUTPUT'!$L$39</f>
        <v>37.952404161049614</v>
      </c>
      <c r="D67" s="108">
        <f t="shared" si="11"/>
        <v>3.9158614046178796E-3</v>
      </c>
      <c r="E67" s="88">
        <f t="shared" si="28"/>
        <v>0.91444376275158101</v>
      </c>
      <c r="F67" s="14">
        <f t="shared" si="18"/>
        <v>3.2470648945506446</v>
      </c>
      <c r="G67" s="10">
        <f t="shared" si="19"/>
        <v>34.705339266498967</v>
      </c>
      <c r="H67" s="110">
        <f t="shared" si="29"/>
        <v>13.882135706599588</v>
      </c>
      <c r="I67" s="110">
        <f t="shared" si="9"/>
        <v>20.82320355989938</v>
      </c>
      <c r="J67" s="11">
        <f t="shared" si="17"/>
        <v>6.4567461135709436E-2</v>
      </c>
      <c r="K67" s="11">
        <f t="shared" si="26"/>
        <v>9.6851191703564155E-2</v>
      </c>
      <c r="L67" s="73">
        <f t="shared" si="20"/>
        <v>7.7480953362851324</v>
      </c>
      <c r="M67" s="74">
        <f t="shared" si="21"/>
        <v>11.622143004427699</v>
      </c>
      <c r="N67" s="34">
        <f t="shared" si="27"/>
        <v>9.6851191703564155</v>
      </c>
      <c r="O67" s="73">
        <f t="shared" si="22"/>
        <v>11.622143004427699</v>
      </c>
      <c r="P67" s="82">
        <f t="shared" si="23"/>
        <v>12.220668734448411</v>
      </c>
      <c r="Q67" s="77">
        <f t="shared" si="10"/>
        <v>0.95102348790999058</v>
      </c>
    </row>
    <row r="68" spans="1:22" x14ac:dyDescent="0.25">
      <c r="A68" s="12">
        <f t="shared" si="24"/>
        <v>2068</v>
      </c>
      <c r="B68" s="1">
        <f t="shared" si="25"/>
        <v>12.682428390484079</v>
      </c>
      <c r="C68" s="10">
        <f>B68*'INPUT - OUTPUT'!$L$39</f>
        <v>38.047285171452238</v>
      </c>
      <c r="D68" s="108">
        <f t="shared" si="11"/>
        <v>1.9621716592026234E-3</v>
      </c>
      <c r="E68" s="88">
        <f t="shared" si="28"/>
        <v>0.91640593441078366</v>
      </c>
      <c r="F68" s="14">
        <f t="shared" si="18"/>
        <v>3.1805272521139965</v>
      </c>
      <c r="G68" s="10">
        <f t="shared" si="19"/>
        <v>34.866757919338241</v>
      </c>
      <c r="H68" s="110">
        <f t="shared" si="29"/>
        <v>13.946703167735297</v>
      </c>
      <c r="I68" s="110">
        <f t="shared" si="9"/>
        <v>20.920054751602944</v>
      </c>
      <c r="J68" s="11">
        <f t="shared" si="17"/>
        <v>0</v>
      </c>
      <c r="K68" s="11">
        <f t="shared" si="26"/>
        <v>0</v>
      </c>
      <c r="L68" s="73">
        <f t="shared" si="20"/>
        <v>0</v>
      </c>
      <c r="M68" s="74">
        <f t="shared" si="21"/>
        <v>0</v>
      </c>
      <c r="N68" s="34">
        <f t="shared" si="27"/>
        <v>0</v>
      </c>
      <c r="O68" s="73">
        <f t="shared" si="22"/>
        <v>0</v>
      </c>
      <c r="P68" s="82">
        <f t="shared" si="23"/>
        <v>12.342875421792897</v>
      </c>
      <c r="Q68" s="77">
        <f t="shared" si="10"/>
        <v>0</v>
      </c>
    </row>
    <row r="69" spans="1:22" x14ac:dyDescent="0.25">
      <c r="M69" s="75"/>
      <c r="N69" s="33"/>
      <c r="O69" s="75"/>
      <c r="P69" s="78"/>
      <c r="Q69" s="77"/>
    </row>
    <row r="70" spans="1:22" ht="18.75" x14ac:dyDescent="0.3">
      <c r="B70" s="16">
        <f>SUM(B11:B69)</f>
        <v>685.65378458413034</v>
      </c>
      <c r="C70" s="17">
        <f>SUM(C11:C69)</f>
        <v>2056.9613537523915</v>
      </c>
      <c r="D70" s="31">
        <f>SUM(D11:D69)</f>
        <v>0.91640593441078366</v>
      </c>
      <c r="E70" s="17"/>
      <c r="F70" s="17">
        <f t="shared" ref="F70:O70" si="30">SUM(F11:F69)</f>
        <v>1248.1972766355798</v>
      </c>
      <c r="G70" s="17">
        <f t="shared" si="30"/>
        <v>808.7640771168119</v>
      </c>
      <c r="H70" s="17"/>
      <c r="I70" s="17"/>
      <c r="J70" s="17">
        <f t="shared" si="30"/>
        <v>13.967208192785296</v>
      </c>
      <c r="K70" s="17">
        <f t="shared" si="30"/>
        <v>20.920054751602944</v>
      </c>
      <c r="L70" s="76">
        <f t="shared" si="30"/>
        <v>1676.064983134235</v>
      </c>
      <c r="M70" s="76">
        <f t="shared" si="30"/>
        <v>2510.4065701923537</v>
      </c>
      <c r="N70" s="18">
        <f t="shared" si="30"/>
        <v>2092.0054751602943</v>
      </c>
      <c r="O70" s="79">
        <f t="shared" si="30"/>
        <v>2510.4065701923528</v>
      </c>
      <c r="P70" s="80"/>
      <c r="Q70" s="81"/>
    </row>
    <row r="71" spans="1:22" s="6" customFormat="1" ht="90.95" customHeight="1" x14ac:dyDescent="0.25">
      <c r="A71" s="39" t="s">
        <v>2</v>
      </c>
      <c r="B71" s="43" t="s">
        <v>31</v>
      </c>
      <c r="C71" s="40" t="s">
        <v>68</v>
      </c>
      <c r="D71" s="41" t="s">
        <v>77</v>
      </c>
      <c r="E71" s="44" t="s">
        <v>35</v>
      </c>
      <c r="F71" s="42" t="s">
        <v>69</v>
      </c>
      <c r="G71" s="86" t="s">
        <v>75</v>
      </c>
      <c r="H71" s="89" t="s">
        <v>80</v>
      </c>
      <c r="I71" s="38" t="s">
        <v>81</v>
      </c>
      <c r="J71" s="94" t="s">
        <v>88</v>
      </c>
      <c r="K71" s="95" t="s">
        <v>33</v>
      </c>
      <c r="L71" s="96" t="s">
        <v>87</v>
      </c>
      <c r="M71" s="97" t="s">
        <v>39</v>
      </c>
      <c r="N71" s="64" t="s">
        <v>60</v>
      </c>
      <c r="O71" s="65" t="s">
        <v>22</v>
      </c>
      <c r="P71" s="66"/>
      <c r="Q71" s="15" t="s">
        <v>44</v>
      </c>
    </row>
    <row r="72" spans="1:22" s="30" customFormat="1" ht="21" customHeight="1" x14ac:dyDescent="0.25">
      <c r="A72" s="27" t="s">
        <v>66</v>
      </c>
      <c r="B72" s="68" t="s">
        <v>37</v>
      </c>
      <c r="C72" s="69" t="s">
        <v>38</v>
      </c>
      <c r="D72" s="27" t="s">
        <v>32</v>
      </c>
      <c r="E72" s="27" t="s">
        <v>36</v>
      </c>
      <c r="F72" s="69" t="s">
        <v>38</v>
      </c>
      <c r="G72" s="69" t="s">
        <v>38</v>
      </c>
      <c r="H72" s="69" t="s">
        <v>38</v>
      </c>
      <c r="I72" s="69" t="s">
        <v>38</v>
      </c>
      <c r="J72" s="70" t="s">
        <v>34</v>
      </c>
      <c r="K72" s="70" t="s">
        <v>34</v>
      </c>
      <c r="L72" s="28" t="s">
        <v>70</v>
      </c>
      <c r="M72" s="28" t="s">
        <v>70</v>
      </c>
      <c r="N72" s="28" t="s">
        <v>40</v>
      </c>
      <c r="O72" s="29" t="s">
        <v>71</v>
      </c>
      <c r="P72" s="29" t="s">
        <v>43</v>
      </c>
      <c r="Q72" s="29" t="s">
        <v>74</v>
      </c>
    </row>
    <row r="74" spans="1:22" x14ac:dyDescent="0.25">
      <c r="R74" s="32" t="s">
        <v>42</v>
      </c>
    </row>
  </sheetData>
  <phoneticPr fontId="1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- OUTPUT</vt:lpstr>
      <vt:lpstr>ECONOMIC MODEL</vt:lpstr>
    </vt:vector>
  </TitlesOfParts>
  <Company>Rexconsult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Gaisford</dc:creator>
  <cp:lastModifiedBy>karljeffery</cp:lastModifiedBy>
  <cp:lastPrinted>2014-12-09T20:14:00Z</cp:lastPrinted>
  <dcterms:created xsi:type="dcterms:W3CDTF">2014-12-09T09:59:43Z</dcterms:created>
  <dcterms:modified xsi:type="dcterms:W3CDTF">2015-01-23T18:28:50Z</dcterms:modified>
</cp:coreProperties>
</file>